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12"/>
  <workbookPr defaultThemeVersion="166925"/>
  <xr:revisionPtr revIDLastSave="503" documentId="11_E46BC7668563382525A4D258BD73B3502C730A6C" xr6:coauthVersionLast="47" xr6:coauthVersionMax="47" xr10:uidLastSave="{10CEC63D-5600-472F-BA3C-DD1D9FB1DF4F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1" l="1"/>
  <c r="E61" i="1"/>
  <c r="F61" i="1"/>
  <c r="G61" i="1"/>
  <c r="H61" i="1"/>
  <c r="I61" i="1"/>
  <c r="J61" i="1"/>
  <c r="K61" i="1"/>
  <c r="L61" i="1"/>
  <c r="M61" i="1"/>
  <c r="C61" i="1"/>
  <c r="B61" i="1"/>
  <c r="N3" i="1"/>
  <c r="N4" i="1"/>
  <c r="N5" i="1"/>
  <c r="N6" i="1"/>
  <c r="N8" i="1"/>
  <c r="N9" i="1"/>
  <c r="N13" i="1"/>
  <c r="N16" i="1"/>
  <c r="N17" i="1"/>
  <c r="N24" i="1"/>
  <c r="N25" i="1"/>
  <c r="N26" i="1"/>
  <c r="N30" i="1"/>
  <c r="N31" i="1"/>
  <c r="N35" i="1"/>
  <c r="N36" i="1"/>
  <c r="N37" i="1"/>
  <c r="N40" i="1"/>
  <c r="N41" i="1"/>
  <c r="N42" i="1"/>
  <c r="N45" i="1"/>
  <c r="N46" i="1"/>
  <c r="N47" i="1"/>
  <c r="N48" i="1"/>
  <c r="N49" i="1"/>
  <c r="N51" i="1"/>
  <c r="N52" i="1"/>
  <c r="N53" i="1"/>
  <c r="N54" i="1"/>
  <c r="N59" i="1"/>
  <c r="N60" i="1"/>
  <c r="N2" i="1"/>
  <c r="M29" i="1"/>
  <c r="N29" i="1" s="1"/>
  <c r="M12" i="1"/>
  <c r="G57" i="1"/>
  <c r="N57" i="1" s="1"/>
  <c r="G56" i="1"/>
  <c r="G50" i="1"/>
  <c r="N50" i="1" s="1"/>
  <c r="G44" i="1"/>
  <c r="N44" i="1" s="1"/>
  <c r="G43" i="1"/>
  <c r="N43" i="1" s="1"/>
  <c r="G39" i="1"/>
  <c r="G34" i="1"/>
  <c r="N34" i="1" s="1"/>
  <c r="G33" i="1"/>
  <c r="G32" i="1"/>
  <c r="G28" i="1"/>
  <c r="N28" i="1" s="1"/>
  <c r="G21" i="1"/>
  <c r="G18" i="1"/>
  <c r="N18" i="1" s="1"/>
  <c r="G15" i="1"/>
  <c r="N15" i="1" s="1"/>
  <c r="G14" i="1"/>
  <c r="N14" i="1" s="1"/>
  <c r="G12" i="1"/>
  <c r="N12" i="1" s="1"/>
  <c r="G11" i="1"/>
  <c r="G10" i="1"/>
  <c r="N10" i="1" s="1"/>
  <c r="G7" i="1"/>
  <c r="N7" i="1" s="1"/>
  <c r="F58" i="1"/>
  <c r="N58" i="1" s="1"/>
  <c r="F56" i="1"/>
  <c r="N56" i="1" s="1"/>
  <c r="F38" i="1"/>
  <c r="N38" i="1" s="1"/>
  <c r="F32" i="1"/>
  <c r="N32" i="1" s="1"/>
  <c r="F22" i="1"/>
  <c r="N22" i="1" s="1"/>
  <c r="F21" i="1"/>
  <c r="N21" i="1" s="1"/>
  <c r="F11" i="1"/>
  <c r="N11" i="1" s="1"/>
  <c r="E19" i="1"/>
  <c r="N19" i="1" s="1"/>
  <c r="B55" i="1"/>
  <c r="N55" i="1" s="1"/>
  <c r="B39" i="1"/>
  <c r="N39" i="1" s="1"/>
  <c r="B33" i="1"/>
  <c r="N33" i="1" s="1"/>
  <c r="B27" i="1"/>
  <c r="N27" i="1" s="1"/>
  <c r="B23" i="1"/>
  <c r="N23" i="1" s="1"/>
  <c r="B20" i="1"/>
  <c r="N20" i="1" s="1"/>
  <c r="N61" i="1" l="1"/>
</calcChain>
</file>

<file path=xl/sharedStrings.xml><?xml version="1.0" encoding="utf-8"?>
<sst xmlns="http://schemas.openxmlformats.org/spreadsheetml/2006/main" count="74" uniqueCount="74">
  <si>
    <t>Member</t>
  </si>
  <si>
    <t>$ Invested in Housing Projects</t>
  </si>
  <si>
    <t>$ Invested in Mixed-Use Projects</t>
  </si>
  <si>
    <t>$ Invested in Commercial Projects</t>
  </si>
  <si>
    <t>$ Invested in Open Space Projects</t>
  </si>
  <si>
    <t>$ Invested in Home Improvement &amp; Lead Paint Assistance</t>
  </si>
  <si>
    <t>$ Invested in Financing for Local Small Businesses</t>
  </si>
  <si>
    <t>CDC Organizational Operating Budgets</t>
  </si>
  <si>
    <t>CDC Rental Operating Budgets</t>
  </si>
  <si>
    <t>$ Invested for Energy Efficiency in Resident-Owned Homes</t>
  </si>
  <si>
    <t>Cash Assistance for Homebuyers or Homeowners</t>
  </si>
  <si>
    <t>Cash Assistance for Renters</t>
  </si>
  <si>
    <t>$ for Earned Income Tax Credits and IDAs</t>
  </si>
  <si>
    <t>Total Community Investment</t>
  </si>
  <si>
    <t>ACT Lawrence</t>
  </si>
  <si>
    <t>Allston Brighton CDC</t>
  </si>
  <si>
    <t>Asian CDC</t>
  </si>
  <si>
    <t>Brookline Improvement Coalition</t>
  </si>
  <si>
    <t xml:space="preserve">CDC of South Berkshire County </t>
  </si>
  <si>
    <t>CEDC-SM</t>
  </si>
  <si>
    <t>Chinatown Community Land Trust</t>
  </si>
  <si>
    <t>Coalition for a Better Acre</t>
  </si>
  <si>
    <t>Codman Square NDC</t>
  </si>
  <si>
    <t xml:space="preserve">Community Development Partnership </t>
  </si>
  <si>
    <t xml:space="preserve">Community Teamwork, Inc. </t>
  </si>
  <si>
    <t>Domus, Inc.</t>
  </si>
  <si>
    <t>Dorchester Bay EDC</t>
  </si>
  <si>
    <t>Downtown Taunton Foundation</t>
  </si>
  <si>
    <t>Dudley Neighbors Inc.</t>
  </si>
  <si>
    <t>Fenway CDC</t>
  </si>
  <si>
    <t>Franklin County CDC</t>
  </si>
  <si>
    <t>Groundwork Lawrence</t>
  </si>
  <si>
    <t>Harborlight Community Partners</t>
  </si>
  <si>
    <t>Hilltown CDC</t>
  </si>
  <si>
    <t>Homeowners Rehabilitation, Inc.</t>
  </si>
  <si>
    <t>Housing Assistance Corporation</t>
  </si>
  <si>
    <t>Housing Corporation of Arlington</t>
  </si>
  <si>
    <t>Housing Nantucket</t>
  </si>
  <si>
    <t>Inquilinos Boricuas en Accion</t>
  </si>
  <si>
    <t>Island Housing Trust</t>
  </si>
  <si>
    <t>Jamaica Plain NDC</t>
  </si>
  <si>
    <t>Just A Start</t>
  </si>
  <si>
    <t>Lawrence CommunityWorks Inc.</t>
  </si>
  <si>
    <t>Lena Park CDC</t>
  </si>
  <si>
    <t>Lowell Community Loan Fund, Inc. DBA, MCCI</t>
  </si>
  <si>
    <t>Madison Park CDC</t>
  </si>
  <si>
    <t>Main South CDC</t>
  </si>
  <si>
    <t>Metro West Collaborative Development</t>
  </si>
  <si>
    <t>Mission Hill NHS</t>
  </si>
  <si>
    <t>Neighborhood of Affordable Housing (NOAH)</t>
  </si>
  <si>
    <t>NeighborWorks Housing Solutions</t>
  </si>
  <si>
    <t>NewVue Communities</t>
  </si>
  <si>
    <t>North Shore CDC</t>
  </si>
  <si>
    <t>Nuestra Comunidad</t>
  </si>
  <si>
    <t>OneHolyoke CDC</t>
  </si>
  <si>
    <t>Pittsfield Economic Revitalization Corporation</t>
  </si>
  <si>
    <t>Quaboag Valley CDC</t>
  </si>
  <si>
    <t>Revitalize CDC</t>
  </si>
  <si>
    <t>Somerville Community Corporation</t>
  </si>
  <si>
    <t>South Boston NDC</t>
  </si>
  <si>
    <t>South Middlesex Opportunity Council, Inc.</t>
  </si>
  <si>
    <t>Southwest Boston CDC</t>
  </si>
  <si>
    <t>Springfield Neighborhood Housing Services</t>
  </si>
  <si>
    <t>The Neighborhood Developers</t>
  </si>
  <si>
    <t>Urban Edge Housing Corporation</t>
  </si>
  <si>
    <t>Valley CDC</t>
  </si>
  <si>
    <t>Waltham Alliance to Create Housing (WATCH CDC)</t>
  </si>
  <si>
    <t>Waterfront Historic Area League (WHALE)</t>
  </si>
  <si>
    <t>Way Finders</t>
  </si>
  <si>
    <t>Wellspring Cooperative</t>
  </si>
  <si>
    <t>Worcester Comm. Housing Resources, Inc.</t>
  </si>
  <si>
    <t>Worcester Common Ground</t>
  </si>
  <si>
    <t xml:space="preserve">Worcester East Side CDC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</si>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</sst>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">
    <xf numFmtId="0" fontId="0" fillId="0" borderId="0" xfId="0"/>
    <xf numFmtId="43" fontId="0" fillId="0" borderId="0" xfId="0" applyNumberFormat="1"/>
    <xf numFmtId="164" fontId="0" fillId="0" borderId="0" xfId="0" applyNumberFormat="1" applyFill="1" applyAlignment="1"/>
    <xf numFmtId="0" fontId="0" fillId="0" borderId="0" xfId="0" applyFill="1" applyAlignment="1"/>
    <xf numFmtId="164" fontId="0" fillId="0" borderId="0" xfId="0" applyNumberFormat="1" applyFill="1"/>
    <xf numFmtId="0" fontId="0" fillId="0" borderId="0" xfId="0" applyFill="1"/>
    <xf numFmtId="164" fontId="0" fillId="0" borderId="1" xfId="1" applyNumberFormat="1" applyFont="1" applyFill="1" applyBorder="1"/>
    <xf numFmtId="164" fontId="0" fillId="0" borderId="1" xfId="0" applyNumberFormat="1" applyFill="1" applyBorder="1"/>
    <xf numFmtId="164" fontId="0" fillId="0" borderId="0" xfId="0" applyNumberFormat="1" applyFill="1" applyBorder="1"/>
    <xf numFmtId="164" fontId="0" fillId="0" borderId="0" xfId="1" applyNumberFormat="1" applyFont="1" applyFill="1" applyBorder="1"/>
    <xf numFmtId="0" fontId="1" fillId="0" borderId="1" xfId="0" applyFont="1" applyFill="1" applyBorder="1"/>
    <xf numFmtId="0" fontId="0" fillId="0" borderId="1" xfId="0" applyFill="1" applyBorder="1"/>
    <xf numFmtId="0" fontId="0" fillId="0" borderId="0" xfId="0" applyFill="1" applyBorder="1"/>
  </cellXfs>
  <cellStyles count="2">
    <cellStyle name="Currency" xfId="1" builtinId="4"/>
    <cellStyle name="Normal" xfId="0" builtinId="0"/>
  </cellStyles>
  <dxfs count="31"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border outline="0">
        <left style="thin">
          <color theme="4" tint="0.39997558519241921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96830CF-276D-45E1-969B-DCACB85EF8B2}" name="Table1" displayName="Table1" ref="A1:N61" totalsRowCount="1" headerRowDxfId="30" dataDxfId="29" tableBorderDxfId="28">
  <autoFilter ref="A1:N60" xr:uid="{896830CF-276D-45E1-969B-DCACB85EF8B2}"/>
  <tableColumns count="14">
    <tableColumn id="1" xr3:uid="{66F3D854-3B8A-45A1-BA80-C9F1663B8B23}" name="Member" totalsRowLabel="Total" dataDxfId="26" totalsRowDxfId="27"/>
    <tableColumn id="2" xr3:uid="{53C95C66-E988-453B-BD12-854DD56AE084}" name="$ Invested in Housing Projects" totalsRowFunction="custom" dataDxfId="24" totalsRowDxfId="25">
      <totalsRowFormula>SUM(Table1[$ Invested in Housing Projects])</totalsRowFormula>
    </tableColumn>
    <tableColumn id="3" xr3:uid="{01A30DEC-2F15-43D8-A153-AC0BE9177693}" name="$ Invested in Mixed-Use Projects" totalsRowFunction="custom" dataDxfId="22" totalsRowDxfId="23">
      <totalsRowFormula>SUM(Table1[$ Invested in Mixed-Use Projects])</totalsRowFormula>
    </tableColumn>
    <tableColumn id="4" xr3:uid="{A2192E45-99B9-4FD0-A189-AA223815F4C1}" name="$ Invested in Commercial Projects" totalsRowFunction="custom" dataDxfId="20" totalsRowDxfId="21">
      <totalsRowFormula>SUM(Table1[$ Invested in Commercial Projects])</totalsRowFormula>
    </tableColumn>
    <tableColumn id="5" xr3:uid="{7390F74B-B8FF-4C83-BB2A-69B884659D6C}" name="$ Invested in Open Space Projects" totalsRowFunction="custom" dataDxfId="18" totalsRowDxfId="19">
      <totalsRowFormula>SUM(Table1[$ Invested in Open Space Projects])</totalsRowFormula>
    </tableColumn>
    <tableColumn id="6" xr3:uid="{F58F17FE-F32F-49E0-A0E2-F5A28A8A2771}" name="$ Invested in Home Improvement &amp; Lead Paint Assistance" totalsRowFunction="custom" dataDxfId="16" totalsRowDxfId="17" dataCellStyle="Currency">
      <totalsRowFormula>SUM(Table1[$ Invested in Home Improvement &amp; Lead Paint Assistance])</totalsRowFormula>
    </tableColumn>
    <tableColumn id="7" xr3:uid="{9D06870C-4975-4EF3-BDAE-247041560736}" name="$ Invested in Financing for Local Small Businesses" totalsRowFunction="custom" dataDxfId="14" totalsRowDxfId="15">
      <totalsRowFormula>SUM(Table1[$ Invested in Financing for Local Small Businesses])</totalsRowFormula>
    </tableColumn>
    <tableColumn id="8" xr3:uid="{E68C0DF6-3C4B-42F4-9FCF-AFB53D2116C7}" name="CDC Organizational Operating Budgets" totalsRowFunction="custom" dataDxfId="12" totalsRowDxfId="13" dataCellStyle="Currency">
      <totalsRowFormula>SUM(Table1[CDC Organizational Operating Budgets])</totalsRowFormula>
    </tableColumn>
    <tableColumn id="9" xr3:uid="{EAD4932F-6BA7-4FCC-8755-78476E6E27DB}" name="CDC Rental Operating Budgets" totalsRowFunction="custom" dataDxfId="10" totalsRowDxfId="11">
      <totalsRowFormula>SUM(Table1[CDC Rental Operating Budgets])</totalsRowFormula>
    </tableColumn>
    <tableColumn id="10" xr3:uid="{A595E5F5-67DD-416D-8644-18E6E190EDED}" name="$ Invested for Energy Efficiency in Resident-Owned Homes" totalsRowFunction="custom" dataDxfId="8" totalsRowDxfId="9">
      <totalsRowFormula>SUM(Table1[$ Invested for Energy Efficiency in Resident-Owned Homes])</totalsRowFormula>
    </tableColumn>
    <tableColumn id="11" xr3:uid="{AE5614CF-7405-4BF7-87BE-700BEA6FFF9A}" name="Cash Assistance for Homebuyers or Homeowners" totalsRowFunction="custom" dataDxfId="6" totalsRowDxfId="7">
      <totalsRowFormula>SUM(Table1[Cash Assistance for Homebuyers or Homeowners])</totalsRowFormula>
    </tableColumn>
    <tableColumn id="12" xr3:uid="{9D8A35C7-516F-46D2-B193-1945DB8C564A}" name="Cash Assistance for Renters" totalsRowFunction="custom" dataDxfId="4" totalsRowDxfId="5">
      <totalsRowFormula>SUM(Table1[Cash Assistance for Renters])</totalsRowFormula>
    </tableColumn>
    <tableColumn id="13" xr3:uid="{7E665709-23AF-4EB2-86BD-BCA5ABD8BDE6}" name="$ for Earned Income Tax Credits and IDAs" totalsRowFunction="custom" dataDxfId="2" totalsRowDxfId="3">
      <totalsRowFormula>SUM(Table1[$ for Earned Income Tax Credits and IDAs])</totalsRowFormula>
    </tableColumn>
    <tableColumn id="14" xr3:uid="{A99DA287-5B77-4CDB-96C9-A4B378A1FCFC}" name="Total Community Investment" totalsRowFunction="sum" dataDxfId="0" totalsRowDxfId="1">
      <calculatedColumnFormula>SUM(B2:M2)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tabSelected="1" workbookViewId="0">
      <pane xSplit="1" topLeftCell="B1" activePane="topRight" state="frozen"/>
      <selection pane="topRight" activeCell="L66" sqref="L66"/>
    </sheetView>
  </sheetViews>
  <sheetFormatPr defaultRowHeight="15"/>
  <cols>
    <col min="1" max="1" width="46.5703125" customWidth="1"/>
    <col min="2" max="2" width="30.5703125" style="1" customWidth="1"/>
    <col min="3" max="3" width="32.5703125" customWidth="1"/>
    <col min="4" max="5" width="33.5703125" customWidth="1"/>
    <col min="6" max="6" width="54.5703125" customWidth="1"/>
    <col min="7" max="7" width="47.140625" customWidth="1"/>
    <col min="8" max="8" width="37.42578125" customWidth="1"/>
    <col min="9" max="9" width="30.5703125" customWidth="1"/>
    <col min="10" max="10" width="54.85546875" customWidth="1"/>
    <col min="11" max="11" width="47.140625" customWidth="1"/>
    <col min="12" max="12" width="28.140625" customWidth="1"/>
    <col min="13" max="13" width="40.140625" customWidth="1"/>
    <col min="14" max="14" width="28.7109375" customWidth="1"/>
  </cols>
  <sheetData>
    <row r="1" spans="1:14" ht="22.5" customHeight="1">
      <c r="A1" s="10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3" t="s">
        <v>9</v>
      </c>
      <c r="K1" s="2" t="s">
        <v>10</v>
      </c>
      <c r="L1" s="3" t="s">
        <v>11</v>
      </c>
      <c r="M1" s="2" t="s">
        <v>12</v>
      </c>
      <c r="N1" s="3" t="s">
        <v>13</v>
      </c>
    </row>
    <row r="2" spans="1:14">
      <c r="A2" s="11" t="s">
        <v>14</v>
      </c>
      <c r="B2" s="4">
        <v>0</v>
      </c>
      <c r="C2" s="4">
        <v>0</v>
      </c>
      <c r="D2" s="5"/>
      <c r="E2" s="4">
        <v>0</v>
      </c>
      <c r="F2" s="4">
        <v>0</v>
      </c>
      <c r="G2" s="4">
        <v>0</v>
      </c>
      <c r="H2" s="6">
        <v>274317</v>
      </c>
      <c r="I2" s="4">
        <v>0</v>
      </c>
      <c r="J2" s="5"/>
      <c r="K2" s="4">
        <v>0</v>
      </c>
      <c r="L2" s="4">
        <v>0</v>
      </c>
      <c r="M2" s="4">
        <v>0</v>
      </c>
      <c r="N2" s="4">
        <f>SUM(B2:M2)</f>
        <v>274317</v>
      </c>
    </row>
    <row r="3" spans="1:14">
      <c r="A3" s="11" t="s">
        <v>15</v>
      </c>
      <c r="B3" s="4">
        <v>0</v>
      </c>
      <c r="C3" s="4">
        <v>0</v>
      </c>
      <c r="D3" s="5"/>
      <c r="E3" s="4">
        <v>0</v>
      </c>
      <c r="F3" s="4">
        <v>0</v>
      </c>
      <c r="G3" s="4">
        <v>0</v>
      </c>
      <c r="H3" s="6">
        <v>1298640</v>
      </c>
      <c r="I3" s="4">
        <v>4275700</v>
      </c>
      <c r="J3" s="5"/>
      <c r="K3" s="7">
        <v>1000</v>
      </c>
      <c r="L3" s="6">
        <v>1000</v>
      </c>
      <c r="M3" s="4">
        <v>0</v>
      </c>
      <c r="N3" s="4">
        <f t="shared" ref="N3:N60" si="0">SUM(B3:M3)</f>
        <v>5576340</v>
      </c>
    </row>
    <row r="4" spans="1:14">
      <c r="A4" s="11" t="s">
        <v>16</v>
      </c>
      <c r="B4" s="6">
        <v>3200000</v>
      </c>
      <c r="C4" s="4">
        <v>0</v>
      </c>
      <c r="D4" s="5"/>
      <c r="E4" s="4">
        <v>0</v>
      </c>
      <c r="F4" s="4">
        <v>0</v>
      </c>
      <c r="G4" s="4">
        <v>0</v>
      </c>
      <c r="H4" s="6">
        <v>1792108</v>
      </c>
      <c r="I4" s="4">
        <v>2636400</v>
      </c>
      <c r="J4" s="5"/>
      <c r="K4" s="7">
        <v>18000</v>
      </c>
      <c r="L4" s="8">
        <v>0</v>
      </c>
      <c r="M4" s="6">
        <v>48000</v>
      </c>
      <c r="N4" s="4">
        <f t="shared" si="0"/>
        <v>7694508</v>
      </c>
    </row>
    <row r="5" spans="1:14">
      <c r="A5" s="11" t="s">
        <v>17</v>
      </c>
      <c r="B5" s="4">
        <v>0</v>
      </c>
      <c r="C5" s="4">
        <v>0</v>
      </c>
      <c r="D5" s="5"/>
      <c r="E5" s="4">
        <v>0</v>
      </c>
      <c r="F5" s="4">
        <v>0</v>
      </c>
      <c r="G5" s="4">
        <v>0</v>
      </c>
      <c r="H5" s="6">
        <v>332755</v>
      </c>
      <c r="I5" s="4">
        <v>185900</v>
      </c>
      <c r="J5" s="5"/>
      <c r="K5" s="4">
        <v>0</v>
      </c>
      <c r="L5" s="8">
        <v>0</v>
      </c>
      <c r="M5" s="4">
        <v>0</v>
      </c>
      <c r="N5" s="4">
        <f t="shared" si="0"/>
        <v>518655</v>
      </c>
    </row>
    <row r="6" spans="1:14">
      <c r="A6" s="11" t="s">
        <v>18</v>
      </c>
      <c r="B6" s="4">
        <v>0</v>
      </c>
      <c r="C6" s="4">
        <v>0</v>
      </c>
      <c r="D6" s="5"/>
      <c r="E6" s="4">
        <v>0</v>
      </c>
      <c r="F6" s="4">
        <v>0</v>
      </c>
      <c r="G6" s="4">
        <v>0</v>
      </c>
      <c r="H6" s="6">
        <v>586686</v>
      </c>
      <c r="I6" s="4">
        <v>84500</v>
      </c>
      <c r="J6" s="5"/>
      <c r="K6" s="4">
        <v>0</v>
      </c>
      <c r="L6" s="8">
        <v>0</v>
      </c>
      <c r="M6" s="4">
        <v>0</v>
      </c>
      <c r="N6" s="4">
        <f t="shared" si="0"/>
        <v>671186</v>
      </c>
    </row>
    <row r="7" spans="1:14">
      <c r="A7" s="11" t="s">
        <v>19</v>
      </c>
      <c r="B7" s="4">
        <v>0</v>
      </c>
      <c r="C7" s="4">
        <v>0</v>
      </c>
      <c r="D7" s="5"/>
      <c r="E7" s="4">
        <v>0</v>
      </c>
      <c r="F7" s="4">
        <v>0</v>
      </c>
      <c r="G7" s="4">
        <f>100000+80000</f>
        <v>180000</v>
      </c>
      <c r="H7" s="6">
        <v>461149</v>
      </c>
      <c r="I7" s="4">
        <v>0</v>
      </c>
      <c r="J7" s="5"/>
      <c r="K7" s="4">
        <v>0</v>
      </c>
      <c r="L7" s="6">
        <v>205000</v>
      </c>
      <c r="M7" s="6">
        <v>900000</v>
      </c>
      <c r="N7" s="4">
        <f t="shared" si="0"/>
        <v>1746149</v>
      </c>
    </row>
    <row r="8" spans="1:14">
      <c r="A8" s="11" t="s">
        <v>20</v>
      </c>
      <c r="B8" s="4">
        <v>0</v>
      </c>
      <c r="C8" s="4">
        <v>0</v>
      </c>
      <c r="D8" s="5"/>
      <c r="E8" s="4">
        <v>0</v>
      </c>
      <c r="F8" s="4">
        <v>0</v>
      </c>
      <c r="G8" s="4">
        <v>0</v>
      </c>
      <c r="H8" s="6">
        <v>183040</v>
      </c>
      <c r="I8" s="4">
        <v>0</v>
      </c>
      <c r="J8" s="5"/>
      <c r="K8" s="4">
        <v>0</v>
      </c>
      <c r="L8" s="4">
        <v>0</v>
      </c>
      <c r="M8" s="4">
        <v>0</v>
      </c>
      <c r="N8" s="4">
        <f t="shared" si="0"/>
        <v>183040</v>
      </c>
    </row>
    <row r="9" spans="1:14">
      <c r="A9" s="11" t="s">
        <v>21</v>
      </c>
      <c r="B9" s="4">
        <v>0</v>
      </c>
      <c r="C9" s="6">
        <v>19000000</v>
      </c>
      <c r="D9" s="5"/>
      <c r="E9" s="4">
        <v>0</v>
      </c>
      <c r="F9" s="4">
        <v>0</v>
      </c>
      <c r="G9" s="4">
        <v>0</v>
      </c>
      <c r="H9" s="6">
        <v>0</v>
      </c>
      <c r="I9" s="4">
        <v>4022200</v>
      </c>
      <c r="J9" s="5"/>
      <c r="K9" s="4">
        <v>0</v>
      </c>
      <c r="L9" s="4">
        <v>0</v>
      </c>
      <c r="M9" s="4">
        <v>0</v>
      </c>
      <c r="N9" s="4">
        <f t="shared" si="0"/>
        <v>23022200</v>
      </c>
    </row>
    <row r="10" spans="1:14">
      <c r="A10" s="11" t="s">
        <v>22</v>
      </c>
      <c r="B10" s="4">
        <v>0</v>
      </c>
      <c r="C10" s="4">
        <v>0</v>
      </c>
      <c r="D10" s="5"/>
      <c r="E10" s="4">
        <v>0</v>
      </c>
      <c r="F10" s="4">
        <v>0</v>
      </c>
      <c r="G10" s="4">
        <f>38000+30000</f>
        <v>68000</v>
      </c>
      <c r="H10" s="6">
        <v>3023408</v>
      </c>
      <c r="I10" s="4">
        <v>8120450</v>
      </c>
      <c r="J10" s="5"/>
      <c r="K10" s="4">
        <v>0</v>
      </c>
      <c r="L10" s="4">
        <v>0</v>
      </c>
      <c r="M10" s="4">
        <v>0</v>
      </c>
      <c r="N10" s="4">
        <f t="shared" si="0"/>
        <v>11211858</v>
      </c>
    </row>
    <row r="11" spans="1:14">
      <c r="A11" s="11" t="s">
        <v>23</v>
      </c>
      <c r="B11" s="4">
        <v>0</v>
      </c>
      <c r="C11" s="4">
        <v>0</v>
      </c>
      <c r="D11" s="5"/>
      <c r="E11" s="4">
        <v>0</v>
      </c>
      <c r="F11" s="6">
        <f>724031+62315</f>
        <v>786346</v>
      </c>
      <c r="G11" s="6">
        <f>155000+716000+345000</f>
        <v>1216000</v>
      </c>
      <c r="H11" s="6">
        <v>3300000</v>
      </c>
      <c r="I11" s="4">
        <v>845000</v>
      </c>
      <c r="J11" s="6">
        <v>241307</v>
      </c>
      <c r="K11" s="4">
        <v>0</v>
      </c>
      <c r="L11" s="4">
        <v>0</v>
      </c>
      <c r="M11" s="4">
        <v>0</v>
      </c>
      <c r="N11" s="4">
        <f t="shared" si="0"/>
        <v>6388653</v>
      </c>
    </row>
    <row r="12" spans="1:14">
      <c r="A12" s="11" t="s">
        <v>24</v>
      </c>
      <c r="B12" s="4">
        <v>0</v>
      </c>
      <c r="C12" s="4">
        <v>0</v>
      </c>
      <c r="D12" s="5"/>
      <c r="E12" s="4">
        <v>0</v>
      </c>
      <c r="F12" s="6">
        <v>384768</v>
      </c>
      <c r="G12" s="6">
        <f>279000+1900000+5570000</f>
        <v>7749000</v>
      </c>
      <c r="H12" s="6">
        <v>96679979</v>
      </c>
      <c r="I12" s="4">
        <v>1335100</v>
      </c>
      <c r="J12" s="5"/>
      <c r="K12" s="4">
        <v>0</v>
      </c>
      <c r="L12" s="6">
        <v>7547445</v>
      </c>
      <c r="M12" s="6">
        <f>1024698+16000</f>
        <v>1040698</v>
      </c>
      <c r="N12" s="4">
        <f t="shared" si="0"/>
        <v>114736990</v>
      </c>
    </row>
    <row r="13" spans="1:14">
      <c r="A13" s="11" t="s">
        <v>25</v>
      </c>
      <c r="B13" s="4">
        <v>0</v>
      </c>
      <c r="C13" s="4">
        <v>0</v>
      </c>
      <c r="D13" s="5"/>
      <c r="E13" s="4">
        <v>0</v>
      </c>
      <c r="F13" s="4">
        <v>0</v>
      </c>
      <c r="G13" s="4">
        <v>0</v>
      </c>
      <c r="H13" s="6">
        <v>1103575</v>
      </c>
      <c r="I13" s="4">
        <v>1132300</v>
      </c>
      <c r="J13" s="5"/>
      <c r="K13" s="4">
        <v>0</v>
      </c>
      <c r="L13" s="4">
        <v>0</v>
      </c>
      <c r="M13" s="4">
        <v>0</v>
      </c>
      <c r="N13" s="4">
        <f t="shared" si="0"/>
        <v>2235875</v>
      </c>
    </row>
    <row r="14" spans="1:14">
      <c r="A14" s="11" t="s">
        <v>26</v>
      </c>
      <c r="B14" s="4">
        <v>0</v>
      </c>
      <c r="C14" s="4">
        <v>0</v>
      </c>
      <c r="D14" s="5"/>
      <c r="E14" s="4">
        <v>0</v>
      </c>
      <c r="F14" s="4">
        <v>0</v>
      </c>
      <c r="G14" s="6">
        <f>275750+100000+10000</f>
        <v>385750</v>
      </c>
      <c r="H14" s="6">
        <v>4040118</v>
      </c>
      <c r="I14" s="4">
        <v>7613450</v>
      </c>
      <c r="J14" s="5"/>
      <c r="K14" s="4">
        <v>0</v>
      </c>
      <c r="L14" s="4">
        <v>0</v>
      </c>
      <c r="M14" s="4">
        <v>0</v>
      </c>
      <c r="N14" s="4">
        <f t="shared" si="0"/>
        <v>12039318</v>
      </c>
    </row>
    <row r="15" spans="1:14">
      <c r="A15" s="11" t="s">
        <v>27</v>
      </c>
      <c r="B15" s="4">
        <v>0</v>
      </c>
      <c r="C15" s="6">
        <v>1500500</v>
      </c>
      <c r="D15" s="5"/>
      <c r="E15" s="4">
        <v>0</v>
      </c>
      <c r="F15" s="4">
        <v>0</v>
      </c>
      <c r="G15" s="4">
        <f>900000+150000</f>
        <v>1050000</v>
      </c>
      <c r="H15" s="6">
        <v>75371</v>
      </c>
      <c r="I15" s="4">
        <v>25350</v>
      </c>
      <c r="J15" s="5"/>
      <c r="K15" s="4">
        <v>0</v>
      </c>
      <c r="L15" s="4">
        <v>0</v>
      </c>
      <c r="M15" s="4">
        <v>0</v>
      </c>
      <c r="N15" s="4">
        <f t="shared" si="0"/>
        <v>2651221</v>
      </c>
    </row>
    <row r="16" spans="1:14">
      <c r="A16" s="11" t="s">
        <v>28</v>
      </c>
      <c r="B16" s="4">
        <v>0</v>
      </c>
      <c r="C16" s="4">
        <v>0</v>
      </c>
      <c r="D16" s="5"/>
      <c r="E16" s="4">
        <v>0</v>
      </c>
      <c r="F16" s="4">
        <v>0</v>
      </c>
      <c r="G16" s="4">
        <v>0</v>
      </c>
      <c r="H16" s="6">
        <v>600000</v>
      </c>
      <c r="I16" s="4">
        <v>1267500</v>
      </c>
      <c r="J16" s="5"/>
      <c r="K16" s="7">
        <v>3750</v>
      </c>
      <c r="L16" s="6">
        <v>3750</v>
      </c>
      <c r="M16" s="4">
        <v>0</v>
      </c>
      <c r="N16" s="4">
        <f t="shared" si="0"/>
        <v>1875000</v>
      </c>
    </row>
    <row r="17" spans="1:14">
      <c r="A17" s="11" t="s">
        <v>29</v>
      </c>
      <c r="B17" s="4">
        <v>0</v>
      </c>
      <c r="C17" s="4">
        <v>0</v>
      </c>
      <c r="D17" s="5"/>
      <c r="E17" s="4">
        <v>0</v>
      </c>
      <c r="F17" s="4">
        <v>0</v>
      </c>
      <c r="G17" s="4">
        <v>0</v>
      </c>
      <c r="H17" s="6">
        <v>987844</v>
      </c>
      <c r="I17" s="4">
        <v>2644850</v>
      </c>
      <c r="J17" s="5"/>
      <c r="K17" s="4">
        <v>0</v>
      </c>
      <c r="L17" s="4">
        <v>0</v>
      </c>
      <c r="M17" s="6">
        <v>0</v>
      </c>
      <c r="N17" s="4">
        <f t="shared" si="0"/>
        <v>3632694</v>
      </c>
    </row>
    <row r="18" spans="1:14">
      <c r="A18" s="11" t="s">
        <v>30</v>
      </c>
      <c r="B18" s="4">
        <v>0</v>
      </c>
      <c r="C18" s="4">
        <v>0</v>
      </c>
      <c r="D18" s="5"/>
      <c r="E18" s="4">
        <v>0</v>
      </c>
      <c r="F18" s="4">
        <v>0</v>
      </c>
      <c r="G18" s="6">
        <f>1022225+1456100+726145+187100</f>
        <v>3391570</v>
      </c>
      <c r="H18" s="6">
        <v>2419292</v>
      </c>
      <c r="I18" s="4">
        <v>8450</v>
      </c>
      <c r="J18" s="5"/>
      <c r="K18" s="4">
        <v>0</v>
      </c>
      <c r="L18" s="4">
        <v>0</v>
      </c>
      <c r="M18" s="6">
        <v>0</v>
      </c>
      <c r="N18" s="4">
        <f t="shared" si="0"/>
        <v>5819312</v>
      </c>
    </row>
    <row r="19" spans="1:14">
      <c r="A19" s="11" t="s">
        <v>31</v>
      </c>
      <c r="B19" s="4">
        <v>0</v>
      </c>
      <c r="C19" s="4">
        <v>0</v>
      </c>
      <c r="D19" s="5"/>
      <c r="E19" s="4">
        <f>1672921+191000+400000+1250000+1800000+18000</f>
        <v>5331921</v>
      </c>
      <c r="F19" s="4">
        <v>0</v>
      </c>
      <c r="G19" s="4">
        <v>0</v>
      </c>
      <c r="H19" s="6">
        <v>2433427</v>
      </c>
      <c r="I19" s="4">
        <v>0</v>
      </c>
      <c r="J19" s="5"/>
      <c r="K19" s="4">
        <v>0</v>
      </c>
      <c r="L19" s="4">
        <v>0</v>
      </c>
      <c r="M19" s="6">
        <v>0</v>
      </c>
      <c r="N19" s="4">
        <f t="shared" si="0"/>
        <v>7765348</v>
      </c>
    </row>
    <row r="20" spans="1:14">
      <c r="A20" s="11" t="s">
        <v>32</v>
      </c>
      <c r="B20" s="4">
        <f>2150000+240000</f>
        <v>2390000</v>
      </c>
      <c r="C20" s="4">
        <v>0</v>
      </c>
      <c r="D20" s="5"/>
      <c r="E20" s="4">
        <v>0</v>
      </c>
      <c r="F20" s="4">
        <v>0</v>
      </c>
      <c r="G20" s="4">
        <v>0</v>
      </c>
      <c r="H20" s="6">
        <v>5789702</v>
      </c>
      <c r="I20" s="4">
        <v>2889900</v>
      </c>
      <c r="J20" s="5"/>
      <c r="K20" s="7">
        <v>1200</v>
      </c>
      <c r="L20" s="6">
        <v>25750</v>
      </c>
      <c r="M20" s="6">
        <v>0</v>
      </c>
      <c r="N20" s="4">
        <f t="shared" si="0"/>
        <v>11096552</v>
      </c>
    </row>
    <row r="21" spans="1:14">
      <c r="A21" s="11" t="s">
        <v>33</v>
      </c>
      <c r="B21" s="4">
        <v>0</v>
      </c>
      <c r="C21" s="4">
        <v>0</v>
      </c>
      <c r="D21" s="5"/>
      <c r="E21" s="4">
        <v>0</v>
      </c>
      <c r="F21" s="6">
        <f>450000+139981</f>
        <v>589981</v>
      </c>
      <c r="G21" s="4">
        <f>20000+300000+171958</f>
        <v>491958</v>
      </c>
      <c r="H21" s="6">
        <v>2628982</v>
      </c>
      <c r="I21" s="4">
        <v>574600</v>
      </c>
      <c r="J21" s="5"/>
      <c r="K21" s="4">
        <v>0</v>
      </c>
      <c r="L21" s="4">
        <v>0</v>
      </c>
      <c r="M21" s="6">
        <v>0</v>
      </c>
      <c r="N21" s="4">
        <f t="shared" si="0"/>
        <v>4285521</v>
      </c>
    </row>
    <row r="22" spans="1:14">
      <c r="A22" s="11" t="s">
        <v>34</v>
      </c>
      <c r="B22" s="6">
        <v>42000000</v>
      </c>
      <c r="C22" s="4">
        <v>0</v>
      </c>
      <c r="D22" s="5"/>
      <c r="E22" s="4">
        <v>0</v>
      </c>
      <c r="F22" s="6">
        <f>172800+10000</f>
        <v>182800</v>
      </c>
      <c r="G22" s="4">
        <v>0</v>
      </c>
      <c r="H22" s="6">
        <v>1744018</v>
      </c>
      <c r="I22" s="4">
        <v>11297650</v>
      </c>
      <c r="J22" s="6">
        <v>5000</v>
      </c>
      <c r="K22" s="4">
        <v>0</v>
      </c>
      <c r="L22" s="6">
        <v>45000</v>
      </c>
      <c r="M22" s="6">
        <v>0</v>
      </c>
      <c r="N22" s="4">
        <f t="shared" si="0"/>
        <v>55274468</v>
      </c>
    </row>
    <row r="23" spans="1:14">
      <c r="A23" s="11" t="s">
        <v>35</v>
      </c>
      <c r="B23" s="4">
        <f>2241361+2612260</f>
        <v>4853621</v>
      </c>
      <c r="C23" s="4">
        <v>0</v>
      </c>
      <c r="D23" s="5"/>
      <c r="E23" s="4">
        <v>0</v>
      </c>
      <c r="F23" s="4">
        <v>0</v>
      </c>
      <c r="G23" s="4">
        <v>0</v>
      </c>
      <c r="H23" s="6">
        <v>26683684</v>
      </c>
      <c r="I23" s="4">
        <v>2856100</v>
      </c>
      <c r="J23" s="6">
        <v>2923608</v>
      </c>
      <c r="K23" s="7">
        <v>249825</v>
      </c>
      <c r="L23" s="6">
        <v>929421</v>
      </c>
      <c r="M23" s="6">
        <v>0</v>
      </c>
      <c r="N23" s="4">
        <f t="shared" si="0"/>
        <v>38496259</v>
      </c>
    </row>
    <row r="24" spans="1:14">
      <c r="A24" s="11" t="s">
        <v>36</v>
      </c>
      <c r="B24" s="6">
        <v>4569946</v>
      </c>
      <c r="C24" s="4">
        <v>0</v>
      </c>
      <c r="D24" s="5"/>
      <c r="E24" s="4">
        <v>0</v>
      </c>
      <c r="F24" s="4">
        <v>0</v>
      </c>
      <c r="G24" s="4">
        <v>0</v>
      </c>
      <c r="H24" s="6">
        <v>547445</v>
      </c>
      <c r="I24" s="4">
        <v>785850</v>
      </c>
      <c r="J24" s="5"/>
      <c r="K24" s="4">
        <v>0</v>
      </c>
      <c r="L24" s="6">
        <v>102409</v>
      </c>
      <c r="M24" s="6">
        <v>0</v>
      </c>
      <c r="N24" s="4">
        <f t="shared" si="0"/>
        <v>6005650</v>
      </c>
    </row>
    <row r="25" spans="1:14">
      <c r="A25" s="11" t="s">
        <v>37</v>
      </c>
      <c r="B25" s="4">
        <v>0</v>
      </c>
      <c r="C25" s="4">
        <v>0</v>
      </c>
      <c r="D25" s="5"/>
      <c r="E25" s="4">
        <v>0</v>
      </c>
      <c r="F25" s="4">
        <v>0</v>
      </c>
      <c r="G25" s="4">
        <v>0</v>
      </c>
      <c r="H25" s="6">
        <v>198715</v>
      </c>
      <c r="I25" s="4">
        <v>321100</v>
      </c>
      <c r="J25" s="5"/>
      <c r="K25" s="4">
        <v>0</v>
      </c>
      <c r="L25" s="4">
        <v>0</v>
      </c>
      <c r="M25" s="6">
        <v>0</v>
      </c>
      <c r="N25" s="4">
        <f t="shared" si="0"/>
        <v>519815</v>
      </c>
    </row>
    <row r="26" spans="1:14">
      <c r="A26" s="11" t="s">
        <v>38</v>
      </c>
      <c r="B26" s="4">
        <v>0</v>
      </c>
      <c r="C26" s="4">
        <v>0</v>
      </c>
      <c r="D26" s="5"/>
      <c r="E26" s="4">
        <v>0</v>
      </c>
      <c r="F26" s="4">
        <v>0</v>
      </c>
      <c r="G26" s="4">
        <v>0</v>
      </c>
      <c r="H26" s="6">
        <v>4466446</v>
      </c>
      <c r="I26" s="4">
        <v>5636150</v>
      </c>
      <c r="J26" s="5"/>
      <c r="K26" s="4">
        <v>0</v>
      </c>
      <c r="L26" s="6">
        <v>1900</v>
      </c>
      <c r="M26" s="6">
        <v>0</v>
      </c>
      <c r="N26" s="4">
        <f t="shared" si="0"/>
        <v>10104496</v>
      </c>
    </row>
    <row r="27" spans="1:14">
      <c r="A27" s="11" t="s">
        <v>39</v>
      </c>
      <c r="B27" s="4">
        <f>800000+1187500+1934377+2619000</f>
        <v>6540877</v>
      </c>
      <c r="C27" s="4">
        <v>0</v>
      </c>
      <c r="D27" s="5"/>
      <c r="E27" s="4">
        <v>0</v>
      </c>
      <c r="F27" s="4">
        <v>0</v>
      </c>
      <c r="G27" s="4">
        <v>0</v>
      </c>
      <c r="H27" s="6">
        <v>1011185</v>
      </c>
      <c r="I27" s="4">
        <v>346450</v>
      </c>
      <c r="J27" s="5"/>
      <c r="K27" s="4">
        <v>0</v>
      </c>
      <c r="L27" s="4">
        <v>0</v>
      </c>
      <c r="M27" s="6">
        <v>0</v>
      </c>
      <c r="N27" s="4">
        <f t="shared" si="0"/>
        <v>7898512</v>
      </c>
    </row>
    <row r="28" spans="1:14">
      <c r="A28" s="11" t="s">
        <v>40</v>
      </c>
      <c r="B28" s="4">
        <v>0</v>
      </c>
      <c r="C28" s="4">
        <v>0</v>
      </c>
      <c r="D28" s="5"/>
      <c r="E28" s="4">
        <v>0</v>
      </c>
      <c r="F28" s="4">
        <v>0</v>
      </c>
      <c r="G28" s="6">
        <f>53762+681000+1200000+76500</f>
        <v>2011262</v>
      </c>
      <c r="H28" s="6">
        <v>6318666</v>
      </c>
      <c r="I28" s="4">
        <v>5678400</v>
      </c>
      <c r="J28" s="5"/>
      <c r="K28" s="4">
        <v>0</v>
      </c>
      <c r="L28" s="4">
        <v>0</v>
      </c>
      <c r="M28" s="6">
        <v>0</v>
      </c>
      <c r="N28" s="4">
        <f t="shared" si="0"/>
        <v>14008328</v>
      </c>
    </row>
    <row r="29" spans="1:14">
      <c r="A29" s="11" t="s">
        <v>41</v>
      </c>
      <c r="B29" s="4">
        <v>0</v>
      </c>
      <c r="C29" s="4">
        <v>0</v>
      </c>
      <c r="D29" s="5"/>
      <c r="E29" s="4">
        <v>0</v>
      </c>
      <c r="F29" s="6">
        <v>448761</v>
      </c>
      <c r="G29" s="4">
        <v>0</v>
      </c>
      <c r="H29" s="6">
        <v>5700000</v>
      </c>
      <c r="I29" s="4">
        <v>5061550</v>
      </c>
      <c r="J29" s="5"/>
      <c r="K29" s="4">
        <v>0</v>
      </c>
      <c r="L29" s="6">
        <v>136192</v>
      </c>
      <c r="M29" s="6">
        <f>99000+500</f>
        <v>99500</v>
      </c>
      <c r="N29" s="4">
        <f t="shared" si="0"/>
        <v>11446003</v>
      </c>
    </row>
    <row r="30" spans="1:14">
      <c r="A30" s="11" t="s">
        <v>42</v>
      </c>
      <c r="B30" s="4">
        <v>0</v>
      </c>
      <c r="C30" s="4">
        <v>0</v>
      </c>
      <c r="D30" s="5"/>
      <c r="E30" s="4">
        <v>0</v>
      </c>
      <c r="F30" s="4">
        <v>0</v>
      </c>
      <c r="G30" s="4">
        <v>0</v>
      </c>
      <c r="H30" s="6">
        <v>3494340</v>
      </c>
      <c r="I30" s="4">
        <v>1943500</v>
      </c>
      <c r="J30" s="5"/>
      <c r="K30" s="4">
        <v>0</v>
      </c>
      <c r="L30" s="6">
        <v>212400</v>
      </c>
      <c r="M30" s="6">
        <v>19200</v>
      </c>
      <c r="N30" s="4">
        <f t="shared" si="0"/>
        <v>5669440</v>
      </c>
    </row>
    <row r="31" spans="1:14">
      <c r="A31" s="11" t="s">
        <v>43</v>
      </c>
      <c r="B31" s="4">
        <v>0</v>
      </c>
      <c r="C31" s="4">
        <v>0</v>
      </c>
      <c r="D31" s="5"/>
      <c r="E31" s="4">
        <v>0</v>
      </c>
      <c r="F31" s="4">
        <v>0</v>
      </c>
      <c r="G31" s="6">
        <v>17000</v>
      </c>
      <c r="H31" s="6">
        <v>1300000</v>
      </c>
      <c r="I31" s="4">
        <v>4613700</v>
      </c>
      <c r="J31" s="5"/>
      <c r="K31" s="4">
        <v>0</v>
      </c>
      <c r="L31" s="4">
        <v>0</v>
      </c>
      <c r="M31" s="4">
        <v>0</v>
      </c>
      <c r="N31" s="4">
        <f t="shared" si="0"/>
        <v>5930700</v>
      </c>
    </row>
    <row r="32" spans="1:14">
      <c r="A32" s="11" t="s">
        <v>44</v>
      </c>
      <c r="B32" s="4">
        <v>0</v>
      </c>
      <c r="C32" s="4">
        <v>0</v>
      </c>
      <c r="D32" s="5"/>
      <c r="E32" s="4">
        <v>0</v>
      </c>
      <c r="F32" s="6">
        <f>232339+567176</f>
        <v>799515</v>
      </c>
      <c r="G32" s="6">
        <f>1325000+2016133+118400</f>
        <v>3459533</v>
      </c>
      <c r="H32" s="6">
        <v>2805031</v>
      </c>
      <c r="I32" s="4">
        <v>0</v>
      </c>
      <c r="J32" s="5"/>
      <c r="K32" s="4">
        <v>0</v>
      </c>
      <c r="L32" s="4">
        <v>0</v>
      </c>
      <c r="M32" s="4">
        <v>0</v>
      </c>
      <c r="N32" s="4">
        <f t="shared" si="0"/>
        <v>7064079</v>
      </c>
    </row>
    <row r="33" spans="1:14">
      <c r="A33" s="11" t="s">
        <v>45</v>
      </c>
      <c r="B33" s="4">
        <f>54741000+11178200</f>
        <v>65919200</v>
      </c>
      <c r="C33" s="4">
        <v>0</v>
      </c>
      <c r="D33" s="5"/>
      <c r="E33" s="4">
        <v>0</v>
      </c>
      <c r="F33" s="4">
        <v>0</v>
      </c>
      <c r="G33" s="4">
        <f>18000+30000</f>
        <v>48000</v>
      </c>
      <c r="H33" s="6">
        <v>6201172</v>
      </c>
      <c r="I33" s="4">
        <v>11137100</v>
      </c>
      <c r="J33" s="5"/>
      <c r="K33" s="6">
        <v>100000</v>
      </c>
      <c r="L33" s="4">
        <v>0</v>
      </c>
      <c r="M33" s="4">
        <v>0</v>
      </c>
      <c r="N33" s="4">
        <f t="shared" si="0"/>
        <v>83405472</v>
      </c>
    </row>
    <row r="34" spans="1:14">
      <c r="A34" s="11" t="s">
        <v>46</v>
      </c>
      <c r="B34" s="4">
        <v>0</v>
      </c>
      <c r="C34" s="4">
        <v>0</v>
      </c>
      <c r="D34" s="5"/>
      <c r="E34" s="4">
        <v>0</v>
      </c>
      <c r="F34" s="4">
        <v>0</v>
      </c>
      <c r="G34" s="4">
        <f>5221+300000</f>
        <v>305221</v>
      </c>
      <c r="H34" s="6">
        <v>3798904</v>
      </c>
      <c r="I34" s="4">
        <v>1580150</v>
      </c>
      <c r="J34" s="5"/>
      <c r="K34" s="4">
        <v>0</v>
      </c>
      <c r="L34" s="4">
        <v>0</v>
      </c>
      <c r="M34" s="6">
        <v>189853</v>
      </c>
      <c r="N34" s="4">
        <f t="shared" si="0"/>
        <v>5874128</v>
      </c>
    </row>
    <row r="35" spans="1:14">
      <c r="A35" s="11" t="s">
        <v>47</v>
      </c>
      <c r="B35" s="6">
        <v>4100000</v>
      </c>
      <c r="C35" s="4">
        <v>0</v>
      </c>
      <c r="D35" s="5"/>
      <c r="E35" s="4">
        <v>0</v>
      </c>
      <c r="F35" s="4">
        <v>0</v>
      </c>
      <c r="G35" s="4">
        <v>0</v>
      </c>
      <c r="H35" s="6">
        <v>740666</v>
      </c>
      <c r="I35" s="4">
        <v>523900</v>
      </c>
      <c r="J35" s="5"/>
      <c r="K35" s="4">
        <v>0</v>
      </c>
      <c r="L35" s="6">
        <v>4500000</v>
      </c>
      <c r="M35" s="4">
        <v>0</v>
      </c>
      <c r="N35" s="4">
        <f t="shared" si="0"/>
        <v>9864566</v>
      </c>
    </row>
    <row r="36" spans="1:14">
      <c r="A36" s="11" t="s">
        <v>48</v>
      </c>
      <c r="B36" s="4">
        <v>0</v>
      </c>
      <c r="C36" s="4">
        <v>0</v>
      </c>
      <c r="D36" s="5"/>
      <c r="E36" s="4">
        <v>0</v>
      </c>
      <c r="F36" s="4">
        <v>0</v>
      </c>
      <c r="G36" s="4">
        <v>0</v>
      </c>
      <c r="H36" s="6">
        <v>705813</v>
      </c>
      <c r="I36" s="4">
        <v>1664650</v>
      </c>
      <c r="J36" s="5"/>
      <c r="K36" s="4">
        <v>0</v>
      </c>
      <c r="L36" s="4">
        <v>0</v>
      </c>
      <c r="M36" s="4">
        <v>0</v>
      </c>
      <c r="N36" s="4">
        <f t="shared" si="0"/>
        <v>2370463</v>
      </c>
    </row>
    <row r="37" spans="1:14">
      <c r="A37" s="11" t="s">
        <v>49</v>
      </c>
      <c r="B37" s="4">
        <v>0</v>
      </c>
      <c r="C37" s="4">
        <v>0</v>
      </c>
      <c r="D37" s="5"/>
      <c r="E37" s="4">
        <v>0</v>
      </c>
      <c r="F37" s="6">
        <v>24200</v>
      </c>
      <c r="G37" s="4">
        <v>0</v>
      </c>
      <c r="H37" s="6">
        <v>7945817</v>
      </c>
      <c r="I37" s="4">
        <v>3337750</v>
      </c>
      <c r="J37" s="5"/>
      <c r="K37" s="4">
        <v>0</v>
      </c>
      <c r="L37" s="6">
        <v>2170775</v>
      </c>
      <c r="M37" s="6">
        <v>166233</v>
      </c>
      <c r="N37" s="4">
        <f t="shared" si="0"/>
        <v>13644775</v>
      </c>
    </row>
    <row r="38" spans="1:14">
      <c r="A38" s="11" t="s">
        <v>50</v>
      </c>
      <c r="B38" s="6">
        <v>2000000</v>
      </c>
      <c r="C38" s="4">
        <v>0</v>
      </c>
      <c r="D38" s="5"/>
      <c r="E38" s="4">
        <v>0</v>
      </c>
      <c r="F38" s="6">
        <f>607246+445993</f>
        <v>1053239</v>
      </c>
      <c r="G38" s="6">
        <v>44000</v>
      </c>
      <c r="H38" s="6">
        <v>8818104</v>
      </c>
      <c r="I38" s="4">
        <v>6269900</v>
      </c>
      <c r="J38" s="5"/>
      <c r="K38" s="6">
        <v>160522</v>
      </c>
      <c r="L38" s="6">
        <v>7006186</v>
      </c>
      <c r="M38" s="6">
        <v>139044</v>
      </c>
      <c r="N38" s="4">
        <f t="shared" si="0"/>
        <v>25490995</v>
      </c>
    </row>
    <row r="39" spans="1:14">
      <c r="A39" s="11" t="s">
        <v>51</v>
      </c>
      <c r="B39" s="4">
        <f>844964+17807810</f>
        <v>18652774</v>
      </c>
      <c r="C39" s="4">
        <v>0</v>
      </c>
      <c r="D39" s="5"/>
      <c r="E39" s="4">
        <v>0</v>
      </c>
      <c r="F39" s="6">
        <v>21500</v>
      </c>
      <c r="G39" s="4">
        <f>692600+1235174+965000</f>
        <v>2892774</v>
      </c>
      <c r="H39" s="6">
        <v>1467536</v>
      </c>
      <c r="I39" s="4">
        <v>1183000</v>
      </c>
      <c r="J39" s="5"/>
      <c r="K39" s="6">
        <v>5000</v>
      </c>
      <c r="L39" s="9">
        <v>0</v>
      </c>
      <c r="M39" s="4">
        <v>0</v>
      </c>
      <c r="N39" s="4">
        <f t="shared" si="0"/>
        <v>24222584</v>
      </c>
    </row>
    <row r="40" spans="1:14">
      <c r="A40" s="11" t="s">
        <v>52</v>
      </c>
      <c r="B40" s="4">
        <v>0</v>
      </c>
      <c r="C40" s="4">
        <v>0</v>
      </c>
      <c r="D40" s="5"/>
      <c r="E40" s="4">
        <v>0</v>
      </c>
      <c r="F40" s="4">
        <v>0</v>
      </c>
      <c r="G40" s="4">
        <v>0</v>
      </c>
      <c r="H40" s="6">
        <v>2976077</v>
      </c>
      <c r="I40" s="4">
        <v>3151850</v>
      </c>
      <c r="J40" s="5"/>
      <c r="K40" s="4">
        <v>0</v>
      </c>
      <c r="L40" s="6">
        <v>78700</v>
      </c>
      <c r="M40" s="6">
        <v>173120</v>
      </c>
      <c r="N40" s="4">
        <f t="shared" si="0"/>
        <v>6379747</v>
      </c>
    </row>
    <row r="41" spans="1:14">
      <c r="A41" s="11" t="s">
        <v>53</v>
      </c>
      <c r="B41" s="4">
        <v>0</v>
      </c>
      <c r="C41" s="4">
        <v>0</v>
      </c>
      <c r="D41" s="5"/>
      <c r="E41" s="4">
        <v>0</v>
      </c>
      <c r="F41" s="4">
        <v>0</v>
      </c>
      <c r="G41" s="6">
        <v>41000</v>
      </c>
      <c r="H41" s="6">
        <v>4020575</v>
      </c>
      <c r="I41" s="4">
        <v>6760000</v>
      </c>
      <c r="J41" s="5"/>
      <c r="K41" s="4">
        <v>0</v>
      </c>
      <c r="L41" s="6">
        <v>164000</v>
      </c>
      <c r="M41" s="4">
        <v>0</v>
      </c>
      <c r="N41" s="4">
        <f t="shared" si="0"/>
        <v>10985575</v>
      </c>
    </row>
    <row r="42" spans="1:14">
      <c r="A42" s="11" t="s">
        <v>54</v>
      </c>
      <c r="B42" s="4">
        <v>0</v>
      </c>
      <c r="C42" s="4">
        <v>0</v>
      </c>
      <c r="D42" s="5"/>
      <c r="E42" s="4">
        <v>0</v>
      </c>
      <c r="F42" s="6">
        <v>73855</v>
      </c>
      <c r="G42" s="4">
        <v>0</v>
      </c>
      <c r="H42" s="6">
        <v>2353384</v>
      </c>
      <c r="I42" s="4">
        <v>2197000</v>
      </c>
      <c r="J42" s="5"/>
      <c r="K42" s="4">
        <v>0</v>
      </c>
      <c r="L42" s="4">
        <v>0</v>
      </c>
      <c r="M42" s="4">
        <v>0</v>
      </c>
      <c r="N42" s="4">
        <f t="shared" si="0"/>
        <v>4624239</v>
      </c>
    </row>
    <row r="43" spans="1:14">
      <c r="A43" s="11" t="s">
        <v>55</v>
      </c>
      <c r="B43" s="4">
        <v>0</v>
      </c>
      <c r="C43" s="4">
        <v>0</v>
      </c>
      <c r="D43" s="5"/>
      <c r="E43" s="4">
        <v>0</v>
      </c>
      <c r="F43" s="4">
        <v>0</v>
      </c>
      <c r="G43" s="6">
        <f>50000+45000+500000+682157</f>
        <v>1277157</v>
      </c>
      <c r="H43" s="6">
        <v>186728</v>
      </c>
      <c r="I43" s="4">
        <v>0</v>
      </c>
      <c r="J43" s="5"/>
      <c r="K43" s="4">
        <v>0</v>
      </c>
      <c r="L43" s="4">
        <v>0</v>
      </c>
      <c r="M43" s="4">
        <v>0</v>
      </c>
      <c r="N43" s="4">
        <f t="shared" si="0"/>
        <v>1463885</v>
      </c>
    </row>
    <row r="44" spans="1:14">
      <c r="A44" s="11" t="s">
        <v>56</v>
      </c>
      <c r="B44" s="4">
        <v>0</v>
      </c>
      <c r="C44" s="4">
        <v>0</v>
      </c>
      <c r="D44" s="5"/>
      <c r="E44" s="4">
        <v>0</v>
      </c>
      <c r="F44" s="4">
        <v>0</v>
      </c>
      <c r="G44" s="6">
        <f>451455+1330607+330000</f>
        <v>2112062</v>
      </c>
      <c r="H44" s="6">
        <v>706970</v>
      </c>
      <c r="I44" s="4">
        <v>59150</v>
      </c>
      <c r="J44" s="5"/>
      <c r="K44" s="4">
        <v>0</v>
      </c>
      <c r="L44" s="4">
        <v>0</v>
      </c>
      <c r="M44" s="4">
        <v>0</v>
      </c>
      <c r="N44" s="4">
        <f t="shared" si="0"/>
        <v>2878182</v>
      </c>
    </row>
    <row r="45" spans="1:14">
      <c r="A45" s="11" t="s">
        <v>57</v>
      </c>
      <c r="B45" s="4">
        <v>0</v>
      </c>
      <c r="C45" s="4">
        <v>0</v>
      </c>
      <c r="D45" s="5"/>
      <c r="E45" s="4">
        <v>0</v>
      </c>
      <c r="F45" s="4">
        <v>0</v>
      </c>
      <c r="G45" s="4">
        <v>0</v>
      </c>
      <c r="H45" s="6">
        <v>653953</v>
      </c>
      <c r="I45" s="4">
        <v>0</v>
      </c>
      <c r="J45" s="5"/>
      <c r="K45" s="6">
        <v>488000</v>
      </c>
      <c r="L45" s="4">
        <v>0</v>
      </c>
      <c r="M45" s="4">
        <v>0</v>
      </c>
      <c r="N45" s="4">
        <f t="shared" si="0"/>
        <v>1141953</v>
      </c>
    </row>
    <row r="46" spans="1:14">
      <c r="A46" s="11" t="s">
        <v>58</v>
      </c>
      <c r="B46" s="6">
        <v>11625000</v>
      </c>
      <c r="C46" s="4">
        <v>0</v>
      </c>
      <c r="D46" s="5"/>
      <c r="E46" s="4">
        <v>0</v>
      </c>
      <c r="F46" s="4">
        <v>0</v>
      </c>
      <c r="G46" s="4">
        <v>0</v>
      </c>
      <c r="H46" s="6">
        <v>2036986</v>
      </c>
      <c r="I46" s="4">
        <v>2577250</v>
      </c>
      <c r="J46" s="5"/>
      <c r="K46" s="4">
        <v>0</v>
      </c>
      <c r="L46" s="4">
        <v>0</v>
      </c>
      <c r="M46" s="4">
        <v>0</v>
      </c>
      <c r="N46" s="4">
        <f t="shared" si="0"/>
        <v>16239236</v>
      </c>
    </row>
    <row r="47" spans="1:14">
      <c r="A47" s="11" t="s">
        <v>59</v>
      </c>
      <c r="B47" s="6">
        <v>21000000</v>
      </c>
      <c r="C47" s="4">
        <v>0</v>
      </c>
      <c r="D47" s="5"/>
      <c r="E47" s="4">
        <v>0</v>
      </c>
      <c r="F47" s="4">
        <v>0</v>
      </c>
      <c r="G47" s="4">
        <v>0</v>
      </c>
      <c r="H47" s="6">
        <v>1783288</v>
      </c>
      <c r="I47" s="4">
        <v>1014000</v>
      </c>
      <c r="J47" s="5"/>
      <c r="K47" s="4">
        <v>0</v>
      </c>
      <c r="L47" s="4">
        <v>0</v>
      </c>
      <c r="M47" s="4">
        <v>0</v>
      </c>
      <c r="N47" s="4">
        <f t="shared" si="0"/>
        <v>23797288</v>
      </c>
    </row>
    <row r="48" spans="1:14">
      <c r="A48" s="11" t="s">
        <v>60</v>
      </c>
      <c r="B48" s="4">
        <v>0</v>
      </c>
      <c r="C48" s="6">
        <v>685000</v>
      </c>
      <c r="D48" s="5"/>
      <c r="E48" s="4">
        <v>0</v>
      </c>
      <c r="F48" s="6">
        <v>914301</v>
      </c>
      <c r="G48" s="6">
        <v>35000</v>
      </c>
      <c r="H48" s="6">
        <v>103340271</v>
      </c>
      <c r="I48" s="4">
        <v>15150850</v>
      </c>
      <c r="J48" s="6">
        <v>745750</v>
      </c>
      <c r="K48" s="6">
        <v>100677</v>
      </c>
      <c r="L48" s="6">
        <v>1224769</v>
      </c>
      <c r="M48" s="6">
        <v>248092</v>
      </c>
      <c r="N48" s="4">
        <f t="shared" si="0"/>
        <v>122444710</v>
      </c>
    </row>
    <row r="49" spans="1:14">
      <c r="A49" s="11" t="s">
        <v>61</v>
      </c>
      <c r="B49" s="6">
        <v>10500000</v>
      </c>
      <c r="C49" s="4">
        <v>0</v>
      </c>
      <c r="D49" s="5"/>
      <c r="E49" s="4">
        <v>0</v>
      </c>
      <c r="F49" s="4">
        <v>0</v>
      </c>
      <c r="G49" s="4">
        <v>0</v>
      </c>
      <c r="H49" s="6">
        <v>550000</v>
      </c>
      <c r="I49" s="4">
        <v>354900</v>
      </c>
      <c r="J49" s="5"/>
      <c r="K49" s="4">
        <v>0</v>
      </c>
      <c r="L49" s="4">
        <v>0</v>
      </c>
      <c r="M49" s="4">
        <v>0</v>
      </c>
      <c r="N49" s="4">
        <f t="shared" si="0"/>
        <v>11404900</v>
      </c>
    </row>
    <row r="50" spans="1:14">
      <c r="A50" s="11" t="s">
        <v>62</v>
      </c>
      <c r="B50" s="4">
        <v>0</v>
      </c>
      <c r="C50" s="4">
        <v>0</v>
      </c>
      <c r="D50" s="5"/>
      <c r="E50" s="4">
        <v>0</v>
      </c>
      <c r="F50" s="4">
        <v>0</v>
      </c>
      <c r="G50" s="4">
        <f>9000+203000+15000</f>
        <v>227000</v>
      </c>
      <c r="H50" s="6">
        <v>340784</v>
      </c>
      <c r="I50" s="4">
        <v>0</v>
      </c>
      <c r="J50" s="5"/>
      <c r="K50" s="6">
        <v>5205000</v>
      </c>
      <c r="L50" s="9">
        <v>0</v>
      </c>
      <c r="M50" s="4">
        <v>0</v>
      </c>
      <c r="N50" s="4">
        <f t="shared" si="0"/>
        <v>5772784</v>
      </c>
    </row>
    <row r="51" spans="1:14">
      <c r="A51" s="11" t="s">
        <v>63</v>
      </c>
      <c r="B51" s="4">
        <v>0</v>
      </c>
      <c r="C51" s="4">
        <v>0</v>
      </c>
      <c r="D51" s="5"/>
      <c r="E51" s="4">
        <v>0</v>
      </c>
      <c r="F51" s="4">
        <v>0</v>
      </c>
      <c r="G51" s="4">
        <v>0</v>
      </c>
      <c r="H51" s="6">
        <v>3311020</v>
      </c>
      <c r="I51" s="4">
        <v>3895450</v>
      </c>
      <c r="J51" s="5"/>
      <c r="K51" s="4">
        <v>0</v>
      </c>
      <c r="L51" s="4">
        <v>0</v>
      </c>
      <c r="M51" s="6">
        <v>189122</v>
      </c>
      <c r="N51" s="4">
        <f t="shared" si="0"/>
        <v>7395592</v>
      </c>
    </row>
    <row r="52" spans="1:14">
      <c r="A52" s="11" t="s">
        <v>64</v>
      </c>
      <c r="B52" s="4">
        <v>0</v>
      </c>
      <c r="C52" s="4">
        <v>0</v>
      </c>
      <c r="D52" s="5"/>
      <c r="E52" s="4">
        <v>0</v>
      </c>
      <c r="F52" s="6">
        <v>154937</v>
      </c>
      <c r="G52" s="4">
        <v>0</v>
      </c>
      <c r="H52" s="6">
        <v>5166210</v>
      </c>
      <c r="I52" s="4">
        <v>11568050</v>
      </c>
      <c r="J52" s="5"/>
      <c r="K52" s="6">
        <v>421067</v>
      </c>
      <c r="L52" s="6">
        <v>90000</v>
      </c>
      <c r="M52" s="6">
        <v>177466</v>
      </c>
      <c r="N52" s="4">
        <f t="shared" si="0"/>
        <v>17577730</v>
      </c>
    </row>
    <row r="53" spans="1:14">
      <c r="A53" s="11" t="s">
        <v>65</v>
      </c>
      <c r="B53" s="6">
        <v>8150046</v>
      </c>
      <c r="C53" s="4">
        <v>0</v>
      </c>
      <c r="D53" s="5"/>
      <c r="E53" s="4">
        <v>0</v>
      </c>
      <c r="F53" s="4">
        <v>0</v>
      </c>
      <c r="G53" s="6">
        <v>211500</v>
      </c>
      <c r="H53" s="6">
        <v>726951</v>
      </c>
      <c r="I53" s="4">
        <v>684450</v>
      </c>
      <c r="J53" s="5"/>
      <c r="K53" s="4">
        <v>0</v>
      </c>
      <c r="L53" s="4">
        <v>0</v>
      </c>
      <c r="M53" s="4">
        <v>0</v>
      </c>
      <c r="N53" s="4">
        <f t="shared" si="0"/>
        <v>9772947</v>
      </c>
    </row>
    <row r="54" spans="1:14">
      <c r="A54" s="11" t="s">
        <v>66</v>
      </c>
      <c r="B54" s="4">
        <v>0</v>
      </c>
      <c r="C54" s="4">
        <v>0</v>
      </c>
      <c r="D54" s="5"/>
      <c r="E54" s="4">
        <v>0</v>
      </c>
      <c r="F54" s="4">
        <v>0</v>
      </c>
      <c r="G54" s="4">
        <v>0</v>
      </c>
      <c r="H54" s="6">
        <v>354996</v>
      </c>
      <c r="I54" s="4">
        <v>8450</v>
      </c>
      <c r="J54" s="5"/>
      <c r="K54" s="4">
        <v>0</v>
      </c>
      <c r="L54" s="6">
        <v>296000</v>
      </c>
      <c r="M54" s="4">
        <v>0</v>
      </c>
      <c r="N54" s="4">
        <f t="shared" si="0"/>
        <v>659446</v>
      </c>
    </row>
    <row r="55" spans="1:14">
      <c r="A55" s="11" t="s">
        <v>67</v>
      </c>
      <c r="B55" s="4">
        <f>410000+850000</f>
        <v>1260000</v>
      </c>
      <c r="C55" s="4">
        <v>0</v>
      </c>
      <c r="D55" s="5"/>
      <c r="E55" s="4">
        <v>0</v>
      </c>
      <c r="F55" s="4">
        <v>0</v>
      </c>
      <c r="G55" s="4">
        <v>0</v>
      </c>
      <c r="H55" s="6">
        <v>320000</v>
      </c>
      <c r="I55" s="4">
        <v>33800</v>
      </c>
      <c r="J55" s="5"/>
      <c r="K55" s="4">
        <v>0</v>
      </c>
      <c r="L55" s="4">
        <v>0</v>
      </c>
      <c r="M55" s="4">
        <v>0</v>
      </c>
      <c r="N55" s="4">
        <f t="shared" si="0"/>
        <v>1613800</v>
      </c>
    </row>
    <row r="56" spans="1:14">
      <c r="A56" s="11" t="s">
        <v>68</v>
      </c>
      <c r="B56" s="4">
        <v>0</v>
      </c>
      <c r="C56" s="4">
        <v>0</v>
      </c>
      <c r="D56" s="5"/>
      <c r="E56" s="4">
        <v>0</v>
      </c>
      <c r="F56" s="6">
        <f>478006+77525</f>
        <v>555531</v>
      </c>
      <c r="G56" s="6">
        <f>1148747+385215+530000</f>
        <v>2063962</v>
      </c>
      <c r="H56" s="6">
        <v>24846879</v>
      </c>
      <c r="I56" s="4">
        <v>5847400</v>
      </c>
      <c r="J56" s="5"/>
      <c r="K56" s="6">
        <v>428783</v>
      </c>
      <c r="L56" s="6">
        <v>3350558</v>
      </c>
      <c r="M56" s="4">
        <v>0</v>
      </c>
      <c r="N56" s="4">
        <f t="shared" si="0"/>
        <v>37093113</v>
      </c>
    </row>
    <row r="57" spans="1:14">
      <c r="A57" s="11" t="s">
        <v>69</v>
      </c>
      <c r="B57" s="4">
        <v>0</v>
      </c>
      <c r="C57" s="4">
        <v>0</v>
      </c>
      <c r="D57" s="5"/>
      <c r="E57" s="4">
        <v>0</v>
      </c>
      <c r="F57" s="4">
        <v>0</v>
      </c>
      <c r="G57" s="4">
        <f>755000+100000</f>
        <v>855000</v>
      </c>
      <c r="H57" s="6">
        <v>214000</v>
      </c>
      <c r="I57" s="4">
        <v>0</v>
      </c>
      <c r="J57" s="5"/>
      <c r="K57" s="4">
        <v>0</v>
      </c>
      <c r="L57" s="4">
        <v>0</v>
      </c>
      <c r="M57" s="4">
        <v>0</v>
      </c>
      <c r="N57" s="4">
        <f t="shared" si="0"/>
        <v>1069000</v>
      </c>
    </row>
    <row r="58" spans="1:14">
      <c r="A58" s="11" t="s">
        <v>70</v>
      </c>
      <c r="B58" s="4">
        <v>0</v>
      </c>
      <c r="C58" s="4">
        <v>0</v>
      </c>
      <c r="D58" s="5"/>
      <c r="E58" s="4">
        <v>0</v>
      </c>
      <c r="F58" s="6">
        <f>40679+45500</f>
        <v>86179</v>
      </c>
      <c r="G58" s="4">
        <v>0</v>
      </c>
      <c r="H58" s="6">
        <v>4758816</v>
      </c>
      <c r="I58" s="4">
        <v>1605500</v>
      </c>
      <c r="J58" s="5"/>
      <c r="K58" s="6">
        <v>45540</v>
      </c>
      <c r="L58" s="6">
        <v>73907</v>
      </c>
      <c r="M58" s="4">
        <v>0</v>
      </c>
      <c r="N58" s="4">
        <f t="shared" si="0"/>
        <v>6569942</v>
      </c>
    </row>
    <row r="59" spans="1:14">
      <c r="A59" s="11" t="s">
        <v>71</v>
      </c>
      <c r="B59" s="4">
        <v>0</v>
      </c>
      <c r="C59" s="4">
        <v>0</v>
      </c>
      <c r="D59" s="5"/>
      <c r="E59" s="6">
        <v>18000</v>
      </c>
      <c r="F59" s="6">
        <v>0</v>
      </c>
      <c r="G59" s="4">
        <v>0</v>
      </c>
      <c r="H59" s="6">
        <v>1116838</v>
      </c>
      <c r="I59" s="4">
        <v>1225250</v>
      </c>
      <c r="J59" s="5"/>
      <c r="K59" s="4">
        <v>0</v>
      </c>
      <c r="L59" s="4">
        <v>0</v>
      </c>
      <c r="M59" s="4">
        <v>0</v>
      </c>
      <c r="N59" s="4">
        <f t="shared" si="0"/>
        <v>2360088</v>
      </c>
    </row>
    <row r="60" spans="1:14">
      <c r="A60" s="11" t="s">
        <v>72</v>
      </c>
      <c r="B60" s="4">
        <v>0</v>
      </c>
      <c r="C60" s="4">
        <v>0</v>
      </c>
      <c r="D60" s="5"/>
      <c r="E60" s="4">
        <v>0</v>
      </c>
      <c r="F60" s="4">
        <v>0</v>
      </c>
      <c r="G60" s="4">
        <v>0</v>
      </c>
      <c r="H60" s="6">
        <v>408273</v>
      </c>
      <c r="I60" s="4">
        <v>143650</v>
      </c>
      <c r="J60" s="5"/>
      <c r="K60" s="4">
        <v>0</v>
      </c>
      <c r="L60" s="4">
        <v>0</v>
      </c>
      <c r="M60" s="4">
        <v>0</v>
      </c>
      <c r="N60" s="4">
        <f t="shared" si="0"/>
        <v>551923</v>
      </c>
    </row>
    <row r="61" spans="1:14">
      <c r="A61" s="12" t="s">
        <v>73</v>
      </c>
      <c r="B61" s="4">
        <f>SUM(Table1[$ Invested in Housing Projects])</f>
        <v>206761464</v>
      </c>
      <c r="C61" s="4">
        <f>SUM(Table1[$ Invested in Mixed-Use Projects])</f>
        <v>21185500</v>
      </c>
      <c r="D61" s="4">
        <f>SUM(Table1[$ Invested in Commercial Projects])</f>
        <v>0</v>
      </c>
      <c r="E61" s="4">
        <f>SUM(Table1[$ Invested in Open Space Projects])</f>
        <v>5349921</v>
      </c>
      <c r="F61" s="4">
        <f>SUM(Table1[$ Invested in Home Improvement &amp; Lead Paint Assistance])</f>
        <v>6075913</v>
      </c>
      <c r="G61" s="4">
        <f>SUM(Table1[$ Invested in Financing for Local Small Businesses])</f>
        <v>30132749</v>
      </c>
      <c r="H61" s="4">
        <f>SUM(Table1[CDC Organizational Operating Budgets])</f>
        <v>372130934</v>
      </c>
      <c r="I61" s="4">
        <f>SUM(Table1[CDC Rental Operating Budgets])</f>
        <v>158175550</v>
      </c>
      <c r="J61" s="4">
        <f>SUM(Table1[$ Invested for Energy Efficiency in Resident-Owned Homes])</f>
        <v>3915665</v>
      </c>
      <c r="K61" s="4">
        <f>SUM(Table1[Cash Assistance for Homebuyers or Homeowners])</f>
        <v>7228364</v>
      </c>
      <c r="L61" s="4">
        <f>SUM(Table1[Cash Assistance for Renters])</f>
        <v>28165162</v>
      </c>
      <c r="M61" s="4">
        <f>SUM(Table1[$ for Earned Income Tax Credits and IDAs])</f>
        <v>3390328</v>
      </c>
      <c r="N61" s="4">
        <f>SUBTOTAL(109,Table1[Total Community Investment])</f>
        <v>842511550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15" ma:contentTypeDescription="Create a new document." ma:contentTypeScope="" ma:versionID="c0e665e893cdc815b4fd2608a3b866fe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0a27c2e42f4e3a48bf862c1a981029f6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702B1E-8482-423D-8F60-BFFE900CE4B1}"/>
</file>

<file path=customXml/itemProps2.xml><?xml version="1.0" encoding="utf-8"?>
<ds:datastoreItem xmlns:ds="http://schemas.openxmlformats.org/officeDocument/2006/customXml" ds:itemID="{5F4E809C-4870-4259-86A3-5C93D13CE3EC}"/>
</file>

<file path=customXml/itemProps3.xml><?xml version="1.0" encoding="utf-8"?>
<ds:datastoreItem xmlns:ds="http://schemas.openxmlformats.org/officeDocument/2006/customXml" ds:itemID="{C592DADF-50FD-4D4E-983A-48B5A1DDA3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Liam Baxter-Healey</cp:lastModifiedBy>
  <cp:revision/>
  <dcterms:created xsi:type="dcterms:W3CDTF">2021-07-22T03:43:37Z</dcterms:created>
  <dcterms:modified xsi:type="dcterms:W3CDTF">2021-07-22T23:22:44Z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</Properties>
</file>