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8" documentId="8_{6D8E743F-0DBB-4B1D-9D85-861452791D3E}" xr6:coauthVersionLast="47" xr6:coauthVersionMax="47" xr10:uidLastSave="{3D311524-9F05-4EA0-8406-FC532619E7B4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2" i="1"/>
  <c r="O3" i="1"/>
  <c r="O4" i="1"/>
  <c r="R5" i="1"/>
  <c r="Q6" i="1"/>
  <c r="P6" i="1"/>
  <c r="N6" i="1"/>
  <c r="M6" i="1"/>
  <c r="L6" i="1"/>
  <c r="AF5" i="1"/>
  <c r="AE5" i="1"/>
  <c r="AD5" i="1"/>
  <c r="AC5" i="1"/>
  <c r="U5" i="1"/>
  <c r="T5" i="1"/>
  <c r="P5" i="1"/>
  <c r="Q5" i="1"/>
  <c r="N5" i="1"/>
  <c r="L5" i="1"/>
  <c r="M5" i="1"/>
  <c r="AV5" i="1"/>
</calcChain>
</file>

<file path=xl/sharedStrings.xml><?xml version="1.0" encoding="utf-8"?>
<sst xmlns="http://schemas.openxmlformats.org/spreadsheetml/2006/main" count="126" uniqueCount="98">
  <si>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</si>
  <si>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</si>
  <si>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</si>
  <si>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</si>
  <si>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</si>
  <si>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</si>
  <si>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</si>
  <si>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</si>
  <si>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</si>
  <si>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development type for this project?</t>
  </si>
  <si>
    <t>What is the commercial square footage for this project?</t>
  </si>
  <si>
    <t>What is the actual or projected total development cost for this project?</t>
  </si>
  <si>
    <t>What is the total number of units for this project?</t>
  </si>
  <si>
    <t>How many are rental?</t>
  </si>
  <si>
    <t>How many are homeownership units?</t>
  </si>
  <si>
    <t>How many units of another ownership type are included in this project?</t>
  </si>
  <si>
    <t>Please describe.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</si>
  <si>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</si>
  <si>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</si>
  <si>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</si>
  <si>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</si>
  <si>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</si>
  <si>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</si>
  <si>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</si>
  <si>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</si>
  <si>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</si>
  <si>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Enter number of units: less than or equal to 30% Area Median Income</t>
  </si>
  <si>
    <t>Enter number of units: 31-60% Area Median Income</t>
  </si>
  <si>
    <t>Enter number of units: 61-80% Area Median Income</t>
  </si>
  <si>
    <t xml:space="preserve">Enter number of units: greater than or equal to 81% Area Median Income </t>
  </si>
  <si>
    <t>Indicate other household characteristics targeted by this project.</t>
  </si>
  <si>
    <t>Is this project currently or in the process of becoming smoke-free?</t>
  </si>
  <si>
    <t>Is this project located within one half (1/2) mile of major public transit with nearby services</t>
  </si>
  <si>
    <t>Do you plan to build the project to Passive House standards?</t>
  </si>
  <si>
    <t>Does this project incorporate environmentally sustainable development or operating strategies?</t>
  </si>
  <si>
    <t>Please specify these environmental strategies.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</si>
  <si>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</si>
  <si>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</si>
  <si>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</si>
  <si>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</si>
  <si>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</si>
  <si>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</si>
  <si>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</si>
  <si>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</si>
  <si>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Please describe the other private source(s).</t>
  </si>
  <si>
    <t>Project Status: Title</t>
  </si>
  <si>
    <t>02119</t>
  </si>
  <si>
    <t>No</t>
  </si>
  <si>
    <t>New Construction</t>
  </si>
  <si>
    <t>Family Housing (multi-bedroom)</t>
  </si>
  <si>
    <t>Retail;Residential (mixed-use)</t>
  </si>
  <si>
    <t>Mixed-Income;Family Housing (multi-bedroom);Department of Mental Health clients</t>
  </si>
  <si>
    <t>Rehab - Substantial</t>
  </si>
  <si>
    <t>Completed</t>
  </si>
  <si>
    <t>Yes tracked, 0%.</t>
  </si>
  <si>
    <t>No, not tracked.</t>
  </si>
  <si>
    <t>Yes</t>
  </si>
  <si>
    <t>Roxbury</t>
  </si>
  <si>
    <t>Commercial;Office;Residential (mixed-use)</t>
  </si>
  <si>
    <t>Bartlett A 9% and 4%</t>
  </si>
  <si>
    <t>2505 Washington Street</t>
  </si>
  <si>
    <t>Family Housing (multi-bedroom);Former Homeless;Artists</t>
  </si>
  <si>
    <t>Exterior envelope insulated beyond requirements of base Building Code;Healthy indoor air quality;Energy-efficient site design;Renewable energy;Enhanced accessibility</t>
  </si>
  <si>
    <t>Windale Developers 50/50 Partner</t>
  </si>
  <si>
    <t>Organization Equity;LISC;CEDAC;MHP;MHIC;Neighborworks America;Enterprise, Community Housing Capital, MHFA</t>
  </si>
  <si>
    <t>Local Linkage;Neighborhood Housing Trust</t>
  </si>
  <si>
    <t>Housing Stabilization Fund (HSF);Housing Innovations Fund (HIF);Commercial Area Transit Node Housing Program (CATNHP)</t>
  </si>
  <si>
    <t>9% Federal Tax Credits (LIHTC);Section 8;4% Federal Tax Credits with Tax-Exempt Bonds</t>
  </si>
  <si>
    <t>MHP;LISC;Neighborworks America;MHIC;Citizens Bank</t>
  </si>
  <si>
    <t>The Loop at Mattapan Station</t>
  </si>
  <si>
    <t>500 River Street</t>
  </si>
  <si>
    <t>Mattapan</t>
  </si>
  <si>
    <t>02126</t>
  </si>
  <si>
    <t>Exterior envelope insulated beyond requirements of base Building Code;Efficient building systems;Healthy indoor air quality;Energy-efficient site design;Renewable energy;Enhanced accessibility</t>
  </si>
  <si>
    <t>POAH 65%;  Nuestra CDC 35%</t>
  </si>
  <si>
    <t>Organization Equity;LISC;MHP</t>
  </si>
  <si>
    <t>Local or Regional HOME;NHT, IDP</t>
  </si>
  <si>
    <t>State HOME;Housing Stabilization Fund (HSF);Affordable Housing Trust Fund;Mass Rental Voucher Program (MRVP);Transit Oriented Development (TOD) Program;Massworks</t>
  </si>
  <si>
    <t>9% Federal Tax Credits (LIHTC);Section 8</t>
  </si>
  <si>
    <t>MHP;Bank of America</t>
  </si>
  <si>
    <t>hrinc</t>
  </si>
  <si>
    <t>808 Memorial Drive</t>
  </si>
  <si>
    <t>808-812 Memorial Drive</t>
  </si>
  <si>
    <t>Cambridge</t>
  </si>
  <si>
    <t>02139</t>
  </si>
  <si>
    <t>Not Applicable - not New Construction</t>
  </si>
  <si>
    <t>Exterior envelope insulated beyond requirements of base Building Code;Efficient building systems;Healthy indoor air quality;Renewable energy</t>
  </si>
  <si>
    <t>Mass Housing;City of Cambridge;NEI;ICON Architects;RBC Capital</t>
  </si>
  <si>
    <t>Organization Equity;Neighborworks America</t>
  </si>
  <si>
    <t>Local or Regional CDBG</t>
  </si>
  <si>
    <t>MassHousing (other than Trust or Workforce Housing)</t>
  </si>
  <si>
    <t>Section 8;4% Federal Tax Credits with Tax-Exempt Bonds</t>
  </si>
  <si>
    <t>Neighborworks America;Other Financial Institutions</t>
  </si>
  <si>
    <t>East Cambridge Savings Bank</t>
  </si>
  <si>
    <t>CDC</t>
  </si>
  <si>
    <t>Total</t>
  </si>
  <si>
    <t>Construction Jobs</t>
  </si>
  <si>
    <t>Nuestra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</si>
</sst>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6" fontId="0" fillId="0" borderId="0" xfId="0" applyNumberFormat="1"/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2" fillId="0" borderId="0" xfId="0" applyNumberFormat="1" applyFont="1"/>
    <xf numFmtId="43" fontId="0" fillId="0" borderId="0" xfId="1" applyFont="1" applyAlignment="1">
      <alignment wrapText="1"/>
    </xf>
  </cellXfs>
  <cellStyles count="2">
    <cellStyle name="Comma" xfId="1" builtinId="3"/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_(* #,##0_);_(* \(#,##0\);_(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DF2ADE-263E-4093-8745-FE94A4A7682D}" name="Table1" displayName="Table1" ref="A1:AV5" totalsRowCount="1" headerRowDxfId="54">
  <autoFilter ref="A1:AV4" xr:uid="{2CDF2ADE-263E-4093-8745-FE94A4A7682D}"/>
  <sortState xmlns:xlrd2="http://schemas.microsoft.com/office/spreadsheetml/2017/richdata2" ref="A2:AV4">
    <sortCondition ref="I1:I4"/>
  </sortState>
  <tableColumns count="48">
    <tableColumn id="1" xr3:uid="{ED58F86F-2451-4B8E-B038-8C1C4A6CB157}" name="CDC" totalsRowLabel="Total" dataDxfId="53"/>
    <tableColumn id="2" xr3:uid="{C4BD2341-D690-4449-9396-69250787EB77}" name="Project Name" dataDxfId="52"/>
    <tableColumn id="3" xr3:uid="{95698CA2-DB0E-41B1-9580-DC3AF0BEE74E}" name="What is the address of this project?: Project Address" dataDxfId="51"/>
    <tableColumn id="4" xr3:uid="{C3B331C3-047A-47C8-AF53-725B57613617}" name="What is the address of this project?: Address 2" dataDxfId="50"/>
    <tableColumn id="5" xr3:uid="{71D69CA1-9448-4A27-A8A7-068E632F8D90}" name="What is the address of this project?: City/Town" dataDxfId="49"/>
    <tableColumn id="6" xr3:uid="{85B5EA91-D421-4127-B934-1944E53626FE}" name="What is the address of this project?: Zip Code" dataDxfId="48"/>
    <tableColumn id="7" xr3:uid="{DDCFE9F9-91B2-4F3F-8CC0-5249B34F5ABC}" name="Is this project a scattered site?" dataDxfId="47"/>
    <tableColumn id="8" xr3:uid="{F3E8439E-6538-403A-B53D-DC73338AAACC}" name="What is the actual or projected year of substantial completion?" dataDxfId="46"/>
    <tableColumn id="9" xr3:uid="{2711291F-D80A-4547-A41D-100305B7A576}" name="What is the current development stage as of December 31st? " dataDxfId="45"/>
    <tableColumn id="10" xr3:uid="{57104F8E-AFD3-468D-8022-315BA623C0E8}" name="What is the primary development strategy?" dataDxfId="44"/>
    <tableColumn id="11" xr3:uid="{454C157D-B7FB-43B4-A4FA-33D27EF44877}" name="What is the development type for this project?" dataDxfId="43"/>
    <tableColumn id="12" xr3:uid="{5770AFC9-318B-4E13-94F8-801E606ADDF2}" name="What is the commercial square footage for this project?" totalsRowFunction="sum" dataDxfId="42" totalsRowDxfId="5" dataCellStyle="Comma" totalsRowCellStyle="Comma"/>
    <tableColumn id="13" xr3:uid="{FB63B371-6D91-49D2-837B-493A0653D4E9}" name="What is the actual or projected total development cost for this project?" totalsRowFunction="sum" dataDxfId="41" totalsRowDxfId="4"/>
    <tableColumn id="14" xr3:uid="{7CE6FB3A-B58C-489F-9E0B-476A8E268642}" name="What is the total number of units for this project?" totalsRowFunction="sum" dataDxfId="40" totalsRowDxfId="3" dataCellStyle="Comma" totalsRowCellStyle="Comma"/>
    <tableColumn id="48" xr3:uid="{EA3893EC-364F-4617-9C0F-D1B91B5BBD06}" name="Construction Jobs" totalsRowFunction="custom" dataDxfId="39" totalsRowDxfId="2" dataCellStyle="Comma">
      <calculatedColumnFormula>Table1[[#This Row],[What is the total number of units for this project?]]*1.61</calculatedColumnFormula>
      <totalsRowFormula>SUM(Table1[Construction Jobs])</totalsRowFormula>
    </tableColumn>
    <tableColumn id="15" xr3:uid="{397D46AD-34DC-4F4C-8002-D8A2C047323B}" name="How many are rental?" totalsRowFunction="sum" dataDxfId="38" totalsRowDxfId="1" dataCellStyle="Comma" totalsRowCellStyle="Comma"/>
    <tableColumn id="16" xr3:uid="{1228474D-E640-4CE4-ADCC-37760ADD06F6}" name="How many are homeownership units?" totalsRowFunction="sum" dataDxfId="37" totalsRowDxfId="0" dataCellStyle="Comma" totalsRowCellStyle="Comma"/>
    <tableColumn id="17" xr3:uid="{F25564A5-DBA0-45F6-BFB6-804FE434DFED}" name="How many units of another ownership type are included in this project?" totalsRowFunction="custom" dataDxfId="36">
      <totalsRowFormula>SUM(Table1[How many units of another ownership type are included in this project?])</totalsRowFormula>
    </tableColumn>
    <tableColumn id="18" xr3:uid="{D23DCEFD-33AA-42B3-8321-BD5107817851}" name="Please describe." dataDxfId="35"/>
    <tableColumn id="19" xr3:uid="{199E36CF-73BC-4C67-92B9-F1D8F0839518}" name="How many commercial tenants are served by facility?" totalsRowFunction="custom" dataDxfId="34">
      <totalsRowFormula>SUM(Table1[How many commercial tenants are served by facility?])</totalsRowFormula>
    </tableColumn>
    <tableColumn id="20" xr3:uid="{6E912EC6-EAA3-4356-B35A-B492C97B79AC}" name="How many jobs created/maintained by tenants of this facility?" totalsRowFunction="custom" dataDxfId="33">
      <totalsRowFormula>SUM(Table1[How many jobs created/maintained by tenants of this facility?])</totalsRowFormula>
    </tableColumn>
    <tableColumn id="21" xr3:uid="{BD9378F9-3174-4088-B288-93A3AEF9D4D8}" name="Do you track MBE hard cost contracting percentages?" dataDxfId="32"/>
    <tableColumn id="22" xr3:uid="{164DD0B7-1F08-41DC-957F-AF1536F94B39}" name="Do you track MBE soft cost contracting percentages?" dataDxfId="31"/>
    <tableColumn id="23" xr3:uid="{C8DC1AD8-5010-4C3C-ACC9-9E5E2958F923}" name="Do you track WBE hard cost contracting percentages? " dataDxfId="30"/>
    <tableColumn id="24" xr3:uid="{29B15DC8-9E8F-43E7-B0C1-DBB21D372D08}" name="What was the WBE soft cost contracting percentages?" dataDxfId="29"/>
    <tableColumn id="25" xr3:uid="{13D65177-9CE3-47B4-B91A-C924063D5EF7}" name="Did you track the percentage of job hours that went to people of color?" dataDxfId="28"/>
    <tableColumn id="26" xr3:uid="{4C6F4BF2-A6B4-4F30-B2C1-AB2C9FD93753}" name="Did you track the percentage of job hours that went to women?" dataDxfId="27"/>
    <tableColumn id="27" xr3:uid="{EC7A1640-BFA0-4DC1-B072-458D36EB4D3C}" name="Did you track the percentage of job hours that went to local residents?" dataDxfId="26"/>
    <tableColumn id="28" xr3:uid="{EA0DAF5F-8906-4B33-93EB-C689F95E69A4}" name="Enter number of units: less than or equal to 30% Area Median Income" totalsRowFunction="custom" dataDxfId="25">
      <totalsRowFormula>SUM(Table1[Enter number of units: less than or equal to 30% Area Median Income])</totalsRowFormula>
    </tableColumn>
    <tableColumn id="29" xr3:uid="{8BF62CF9-9B05-41C9-8124-0769037A3D2D}" name="Enter number of units: 31-60% Area Median Income" totalsRowFunction="custom" dataDxfId="24">
      <totalsRowFormula>SUM(Table1[Enter number of units: 31-60% Area Median Income])</totalsRowFormula>
    </tableColumn>
    <tableColumn id="30" xr3:uid="{CB13CC8A-A29E-47D8-BDE4-F5AA3817B48F}" name="Enter number of units: 61-80% Area Median Income" totalsRowFunction="custom" dataDxfId="23">
      <totalsRowFormula>SUM(Table1[Enter number of units: 61-80% Area Median Income])</totalsRowFormula>
    </tableColumn>
    <tableColumn id="31" xr3:uid="{9D10D15F-DDBE-4955-8612-C1534351D2AA}" name="Enter number of units: greater than or equal to 81% Area Median Income " totalsRowFunction="custom" dataDxfId="22">
      <totalsRowFormula>-SUM(Table1[Enter number of units: greater than or equal to 81% Area Median Income ])</totalsRowFormula>
    </tableColumn>
    <tableColumn id="32" xr3:uid="{D8684DAE-B7C4-41B2-8ADD-F3C1C89C489B}" name="Indicate other household characteristics targeted by this project." dataDxfId="21"/>
    <tableColumn id="33" xr3:uid="{649932D0-AE4C-4673-B573-9406D72B3562}" name="Is this project currently or in the process of becoming smoke-free?" dataDxfId="20"/>
    <tableColumn id="34" xr3:uid="{23256F0E-1E8D-4EAC-8870-13EC8C023C9A}" name="Is this project located within one half (1/2) mile of major public transit with nearby services" dataDxfId="19"/>
    <tableColumn id="35" xr3:uid="{333A0035-0C67-4637-A0A3-F7C8BC31A8DF}" name="Do you plan to build the project to Passive House standards?" dataDxfId="18"/>
    <tableColumn id="36" xr3:uid="{C7D3A1F2-C493-4624-BB32-4CC400F3B0EB}" name="Does this project incorporate environmentally sustainable development or operating strategies?" dataDxfId="17"/>
    <tableColumn id="37" xr3:uid="{1BFDE1C7-2D64-41C8-8C6F-60FAC8986F8D}" name="Please specify these environmental strategies." dataDxfId="16"/>
    <tableColumn id="38" xr3:uid="{DE9F83B0-A68F-4152-834B-AC734CC9ECEF}" name="List any partners that collaborated on this project." dataDxfId="15"/>
    <tableColumn id="39" xr3:uid="{EE599506-EC98-46D1-9EA5-E4954523F8F1}" name="Indicate any PREDEVELOPMENT finance sources for this project." dataDxfId="14"/>
    <tableColumn id="40" xr3:uid="{603EC9C3-A111-438E-8897-BDEFA976EA0E}" name="Indicate any MUNICIPAL finance sources for this project." dataDxfId="13"/>
    <tableColumn id="41" xr3:uid="{4820B079-5B8B-4109-87EB-C0FBB831ED26}" name="Indicate any STATE finance sources for this project." dataDxfId="12"/>
    <tableColumn id="42" xr3:uid="{5A718C00-9176-4113-BC5B-3D601B8E155E}" name="Indicate any FEDERAL finance sources for this project." dataDxfId="11"/>
    <tableColumn id="43" xr3:uid="{5BC3BE7A-26FE-44AA-87C1-B57787AF748A}" name="Indicate any PRIVATE finance sources for this project." dataDxfId="10"/>
    <tableColumn id="44" xr3:uid="{EEBA9C1A-C0C2-4049-8634-9435A3821BB6}" name="Please describe the other financial institution(s)." dataDxfId="9"/>
    <tableColumn id="45" xr3:uid="{668A8251-97C2-46D2-B511-4F7DD1CA8AE7}" name="Please describe the other foundation(s)." dataDxfId="8"/>
    <tableColumn id="46" xr3:uid="{6D5350C6-38BC-4063-BC4D-47CA0E71ADD6}" name="Please describe the other private source(s)." dataDxfId="7"/>
    <tableColumn id="47" xr3:uid="{E274F5AB-5F4F-44D9-8AF7-3A36C8D7F8CB}" name="Project Status: Title" totalsRowFunction="count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"/>
  <sheetViews>
    <sheetView tabSelected="1" workbookViewId="0">
      <selection activeCell="A7" sqref="A7"/>
    </sheetView>
  </sheetViews>
  <sheetFormatPr defaultRowHeight="14.25" x14ac:dyDescent="0.45"/>
  <cols>
    <col min="1" max="1" width="26.73046875" customWidth="1"/>
    <col min="2" max="2" width="15.1328125" customWidth="1"/>
    <col min="3" max="3" width="49.1328125" customWidth="1"/>
    <col min="4" max="4" width="43.86328125" customWidth="1"/>
    <col min="5" max="5" width="44.3984375" customWidth="1"/>
    <col min="6" max="6" width="43" customWidth="1"/>
    <col min="7" max="7" width="29.86328125" customWidth="1"/>
    <col min="8" max="8" width="58.59765625" customWidth="1"/>
    <col min="9" max="9" width="57.265625" customWidth="1"/>
    <col min="10" max="10" width="41.59765625" customWidth="1"/>
    <col min="11" max="11" width="44.59765625" customWidth="1"/>
    <col min="12" max="12" width="52.1328125" customWidth="1"/>
    <col min="13" max="13" width="65.73046875" customWidth="1"/>
    <col min="14" max="15" width="46.86328125" customWidth="1"/>
    <col min="16" max="16" width="22.3984375" customWidth="1"/>
    <col min="17" max="17" width="36.59765625" customWidth="1"/>
    <col min="18" max="18" width="66.265625" customWidth="1"/>
    <col min="19" max="19" width="17.59765625" customWidth="1"/>
    <col min="20" max="20" width="50" customWidth="1"/>
    <col min="21" max="21" width="57.86328125" customWidth="1"/>
    <col min="22" max="22" width="49.3984375" customWidth="1"/>
    <col min="23" max="23" width="48.86328125" customWidth="1"/>
    <col min="24" max="24" width="50" customWidth="1"/>
    <col min="25" max="25" width="50.265625" customWidth="1"/>
    <col min="26" max="26" width="65.59765625" customWidth="1"/>
    <col min="27" max="27" width="58.86328125" customWidth="1"/>
    <col min="28" max="28" width="65" customWidth="1"/>
    <col min="29" max="29" width="64.1328125" customWidth="1"/>
    <col min="30" max="31" width="48.59765625" customWidth="1"/>
    <col min="32" max="32" width="67.59765625" customWidth="1"/>
    <col min="33" max="33" width="60" customWidth="1"/>
    <col min="34" max="34" width="61.59765625" customWidth="1"/>
    <col min="35" max="35" width="73.3984375" customWidth="1"/>
    <col min="36" max="36" width="56.265625" customWidth="1"/>
    <col min="37" max="37" width="73.3984375" customWidth="1"/>
    <col min="38" max="38" width="44.3984375" customWidth="1"/>
    <col min="39" max="39" width="46.86328125" customWidth="1"/>
    <col min="40" max="40" width="59" customWidth="1"/>
    <col min="41" max="41" width="52.73046875" customWidth="1"/>
    <col min="42" max="42" width="47.73046875" customWidth="1"/>
    <col min="43" max="43" width="50" customWidth="1"/>
    <col min="44" max="44" width="49.86328125" customWidth="1"/>
    <col min="45" max="45" width="46.265625" customWidth="1"/>
    <col min="46" max="46" width="38.86328125" customWidth="1"/>
    <col min="47" max="47" width="41.59765625" customWidth="1"/>
    <col min="48" max="48" width="20.265625" customWidth="1"/>
  </cols>
  <sheetData>
    <row r="1" spans="1:48" ht="48" customHeight="1" x14ac:dyDescent="0.45">
      <c r="A1" s="1" t="s">
        <v>94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96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</row>
    <row r="2" spans="1:48" ht="48" customHeight="1" x14ac:dyDescent="0.45">
      <c r="A2" s="2" t="s">
        <v>80</v>
      </c>
      <c r="B2" s="2" t="s">
        <v>81</v>
      </c>
      <c r="C2" s="2" t="s">
        <v>82</v>
      </c>
      <c r="D2" s="2"/>
      <c r="E2" s="2" t="s">
        <v>83</v>
      </c>
      <c r="F2" s="2" t="s">
        <v>84</v>
      </c>
      <c r="G2" s="2" t="s">
        <v>47</v>
      </c>
      <c r="H2" s="2">
        <v>2022</v>
      </c>
      <c r="I2" s="2" t="s">
        <v>53</v>
      </c>
      <c r="J2" s="2" t="s">
        <v>52</v>
      </c>
      <c r="K2" s="2" t="s">
        <v>58</v>
      </c>
      <c r="L2" s="5">
        <v>38000</v>
      </c>
      <c r="M2" s="3">
        <v>166000000</v>
      </c>
      <c r="N2" s="5">
        <v>300</v>
      </c>
      <c r="O2" s="8">
        <f>Table1[[#This Row],[What is the total number of units for this project?]]*1.61</f>
        <v>483.00000000000006</v>
      </c>
      <c r="P2" s="5">
        <v>300</v>
      </c>
      <c r="Q2" s="5">
        <v>0</v>
      </c>
      <c r="R2" s="2">
        <v>0</v>
      </c>
      <c r="S2" s="2"/>
      <c r="T2" s="2">
        <v>7</v>
      </c>
      <c r="U2" s="2">
        <v>90</v>
      </c>
      <c r="V2" s="2" t="s">
        <v>55</v>
      </c>
      <c r="W2" s="2" t="s">
        <v>55</v>
      </c>
      <c r="X2" s="2" t="s">
        <v>55</v>
      </c>
      <c r="Y2" s="2" t="s">
        <v>55</v>
      </c>
      <c r="Z2" s="2" t="s">
        <v>55</v>
      </c>
      <c r="AA2" s="2" t="s">
        <v>55</v>
      </c>
      <c r="AB2" s="2" t="s">
        <v>55</v>
      </c>
      <c r="AC2" s="2">
        <v>30</v>
      </c>
      <c r="AD2" s="2">
        <v>150</v>
      </c>
      <c r="AE2" s="2">
        <v>32</v>
      </c>
      <c r="AF2" s="2">
        <v>88</v>
      </c>
      <c r="AG2" s="2" t="s">
        <v>51</v>
      </c>
      <c r="AH2" s="2" t="s">
        <v>56</v>
      </c>
      <c r="AI2" s="2" t="s">
        <v>56</v>
      </c>
      <c r="AJ2" s="2" t="s">
        <v>85</v>
      </c>
      <c r="AK2" s="2" t="s">
        <v>56</v>
      </c>
      <c r="AL2" s="2" t="s">
        <v>86</v>
      </c>
      <c r="AM2" s="2" t="s">
        <v>87</v>
      </c>
      <c r="AN2" s="2" t="s">
        <v>88</v>
      </c>
      <c r="AO2" s="2" t="s">
        <v>89</v>
      </c>
      <c r="AP2" s="2" t="s">
        <v>90</v>
      </c>
      <c r="AQ2" s="2" t="s">
        <v>91</v>
      </c>
      <c r="AR2" s="2" t="s">
        <v>92</v>
      </c>
      <c r="AS2" s="2" t="s">
        <v>93</v>
      </c>
      <c r="AT2" s="2"/>
      <c r="AU2" s="2"/>
      <c r="AV2" s="2" t="s">
        <v>53</v>
      </c>
    </row>
    <row r="3" spans="1:48" ht="48" customHeight="1" x14ac:dyDescent="0.45">
      <c r="A3" s="2" t="s">
        <v>97</v>
      </c>
      <c r="B3" s="2" t="s">
        <v>59</v>
      </c>
      <c r="C3" s="2" t="s">
        <v>60</v>
      </c>
      <c r="D3" s="2"/>
      <c r="E3" s="2" t="s">
        <v>57</v>
      </c>
      <c r="F3" s="2" t="s">
        <v>46</v>
      </c>
      <c r="G3" s="2" t="s">
        <v>47</v>
      </c>
      <c r="H3" s="2">
        <v>2022</v>
      </c>
      <c r="I3" s="2" t="s">
        <v>53</v>
      </c>
      <c r="J3" s="2" t="s">
        <v>48</v>
      </c>
      <c r="K3" s="2" t="s">
        <v>50</v>
      </c>
      <c r="L3" s="5">
        <v>14000</v>
      </c>
      <c r="M3" s="3">
        <v>36000000</v>
      </c>
      <c r="N3" s="5">
        <v>60</v>
      </c>
      <c r="O3" s="8">
        <f>Table1[[#This Row],[What is the total number of units for this project?]]*1.61</f>
        <v>96.600000000000009</v>
      </c>
      <c r="P3" s="5">
        <v>60</v>
      </c>
      <c r="Q3" s="5">
        <v>0</v>
      </c>
      <c r="R3" s="2">
        <v>0</v>
      </c>
      <c r="S3" s="2"/>
      <c r="T3" s="2">
        <v>4</v>
      </c>
      <c r="U3" s="2">
        <v>28</v>
      </c>
      <c r="V3" s="2">
        <v>46</v>
      </c>
      <c r="W3" s="2" t="s">
        <v>54</v>
      </c>
      <c r="X3" s="2">
        <v>22</v>
      </c>
      <c r="Y3" s="2">
        <v>4</v>
      </c>
      <c r="Z3" s="2">
        <v>51</v>
      </c>
      <c r="AA3" s="2">
        <v>13</v>
      </c>
      <c r="AB3" s="2">
        <v>26</v>
      </c>
      <c r="AC3" s="2">
        <v>16</v>
      </c>
      <c r="AD3" s="2">
        <v>35</v>
      </c>
      <c r="AE3" s="2">
        <v>9</v>
      </c>
      <c r="AF3" s="2">
        <v>0</v>
      </c>
      <c r="AG3" s="2" t="s">
        <v>61</v>
      </c>
      <c r="AH3" s="2" t="s">
        <v>56</v>
      </c>
      <c r="AI3" s="2" t="s">
        <v>56</v>
      </c>
      <c r="AJ3" s="2" t="s">
        <v>56</v>
      </c>
      <c r="AK3" s="2" t="s">
        <v>56</v>
      </c>
      <c r="AL3" s="2" t="s">
        <v>62</v>
      </c>
      <c r="AM3" s="2" t="s">
        <v>63</v>
      </c>
      <c r="AN3" s="2" t="s">
        <v>64</v>
      </c>
      <c r="AO3" s="2" t="s">
        <v>65</v>
      </c>
      <c r="AP3" s="2" t="s">
        <v>66</v>
      </c>
      <c r="AQ3" s="2" t="s">
        <v>67</v>
      </c>
      <c r="AR3" s="2" t="s">
        <v>68</v>
      </c>
      <c r="AS3" s="2"/>
      <c r="AT3" s="2"/>
      <c r="AU3" s="2"/>
      <c r="AV3" s="2" t="s">
        <v>53</v>
      </c>
    </row>
    <row r="4" spans="1:48" ht="48" customHeight="1" x14ac:dyDescent="0.45">
      <c r="A4" s="2" t="s">
        <v>97</v>
      </c>
      <c r="B4" s="2" t="s">
        <v>69</v>
      </c>
      <c r="C4" s="2" t="s">
        <v>70</v>
      </c>
      <c r="D4" s="2"/>
      <c r="E4" s="2" t="s">
        <v>71</v>
      </c>
      <c r="F4" s="2" t="s">
        <v>72</v>
      </c>
      <c r="G4" s="2" t="s">
        <v>47</v>
      </c>
      <c r="H4" s="2">
        <v>2022</v>
      </c>
      <c r="I4" s="2" t="s">
        <v>53</v>
      </c>
      <c r="J4" s="2" t="s">
        <v>48</v>
      </c>
      <c r="K4" s="2" t="s">
        <v>50</v>
      </c>
      <c r="L4" s="5">
        <v>10000</v>
      </c>
      <c r="M4" s="3">
        <v>130022032</v>
      </c>
      <c r="N4" s="5">
        <v>135</v>
      </c>
      <c r="O4" s="8">
        <f>Table1[[#This Row],[What is the total number of units for this project?]]*1.61</f>
        <v>217.35000000000002</v>
      </c>
      <c r="P4" s="5">
        <v>135</v>
      </c>
      <c r="Q4" s="5">
        <v>0</v>
      </c>
      <c r="R4" s="2">
        <v>0</v>
      </c>
      <c r="S4" s="2"/>
      <c r="T4" s="2">
        <v>3</v>
      </c>
      <c r="U4" s="2">
        <v>30</v>
      </c>
      <c r="V4" s="2">
        <v>39</v>
      </c>
      <c r="W4" s="2" t="s">
        <v>54</v>
      </c>
      <c r="X4" s="2">
        <v>6</v>
      </c>
      <c r="Y4" s="2" t="s">
        <v>54</v>
      </c>
      <c r="Z4" s="2">
        <v>68</v>
      </c>
      <c r="AA4" s="2">
        <v>6</v>
      </c>
      <c r="AB4" s="2">
        <v>36</v>
      </c>
      <c r="AC4" s="2">
        <v>18</v>
      </c>
      <c r="AD4" s="2">
        <v>75</v>
      </c>
      <c r="AE4" s="2">
        <v>42</v>
      </c>
      <c r="AF4" s="2">
        <v>0</v>
      </c>
      <c r="AG4" s="2" t="s">
        <v>49</v>
      </c>
      <c r="AH4" s="2" t="s">
        <v>56</v>
      </c>
      <c r="AI4" s="2" t="s">
        <v>56</v>
      </c>
      <c r="AJ4" s="2" t="s">
        <v>56</v>
      </c>
      <c r="AK4" s="2" t="s">
        <v>56</v>
      </c>
      <c r="AL4" s="2" t="s">
        <v>73</v>
      </c>
      <c r="AM4" s="2" t="s">
        <v>74</v>
      </c>
      <c r="AN4" s="2" t="s">
        <v>75</v>
      </c>
      <c r="AO4" s="2" t="s">
        <v>76</v>
      </c>
      <c r="AP4" s="2" t="s">
        <v>77</v>
      </c>
      <c r="AQ4" s="2" t="s">
        <v>78</v>
      </c>
      <c r="AR4" s="2" t="s">
        <v>79</v>
      </c>
      <c r="AS4" s="2"/>
      <c r="AT4" s="2"/>
      <c r="AU4" s="2"/>
      <c r="AV4" s="2" t="s">
        <v>53</v>
      </c>
    </row>
    <row r="5" spans="1:48" ht="48" customHeight="1" x14ac:dyDescent="0.45">
      <c r="A5" t="s">
        <v>95</v>
      </c>
      <c r="L5" s="6">
        <f>SUBTOTAL(109,Table1[What is the commercial square footage for this project?])</f>
        <v>62000</v>
      </c>
      <c r="M5" s="4">
        <f>SUBTOTAL(109,Table1[What is the actual or projected total development cost for this project?])</f>
        <v>332022032</v>
      </c>
      <c r="N5" s="6">
        <f>SUBTOTAL(109,Table1[What is the total number of units for this project?])</f>
        <v>495</v>
      </c>
      <c r="O5" s="7">
        <f>SUM(Table1[Construction Jobs])</f>
        <v>796.95</v>
      </c>
      <c r="P5" s="6">
        <f>SUBTOTAL(109,Table1[How many are rental?])</f>
        <v>495</v>
      </c>
      <c r="Q5" s="6">
        <f>SUBTOTAL(109,Table1[How many are homeownership units?])</f>
        <v>0</v>
      </c>
      <c r="R5">
        <f>SUM(Table1[How many units of another ownership type are included in this project?])</f>
        <v>0</v>
      </c>
      <c r="T5">
        <f>SUM(Table1[How many commercial tenants are served by facility?])</f>
        <v>14</v>
      </c>
      <c r="U5">
        <f>SUM(Table1[How many jobs created/maintained by tenants of this facility?])</f>
        <v>148</v>
      </c>
      <c r="AC5">
        <f>SUM(Table1[Enter number of units: less than or equal to 30% Area Median Income])</f>
        <v>64</v>
      </c>
      <c r="AD5">
        <f>SUM(Table1[Enter number of units: 31-60% Area Median Income])</f>
        <v>260</v>
      </c>
      <c r="AE5">
        <f>SUM(Table1[Enter number of units: 61-80% Area Median Income])</f>
        <v>83</v>
      </c>
      <c r="AF5">
        <f>-SUM(Table1[Enter number of units: greater than or equal to 81% Area Median Income ])</f>
        <v>-88</v>
      </c>
      <c r="AV5">
        <f>SUBTOTAL(103,Table1[Project Status: Title])</f>
        <v>3</v>
      </c>
    </row>
    <row r="6" spans="1:48" x14ac:dyDescent="0.45">
      <c r="L6" s="6">
        <f>SUM(Table1[What is the commercial square footage for this project?])</f>
        <v>62000</v>
      </c>
      <c r="M6" s="4">
        <f>SUM(Table1[What is the actual or projected total development cost for this project?])</f>
        <v>332022032</v>
      </c>
      <c r="N6" s="6">
        <f>SUM(Table1[What is the total number of units for this project?])</f>
        <v>495</v>
      </c>
      <c r="O6" s="6">
        <f>SUM(Table1[Construction Jobs])</f>
        <v>796.95</v>
      </c>
      <c r="P6" s="6">
        <f>SUM(Table1[How many are rental?])</f>
        <v>495</v>
      </c>
      <c r="Q6" s="6">
        <f>SUM(Table1[How many are homeownership units?])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179D6-2112-4F4C-A504-F35C57F29681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D51ADA7A-E07B-4684-920F-BF12860092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813FD7-597B-43F5-9F9D-278E38FD3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2023-05-03T15:38:53Z</dcterms:created>
  <dcterms:modified xsi:type="dcterms:W3CDTF">2023-07-14T14:23:27Z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