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1/2021 GOALs Tables/GOALs Summary Tables/"/>
    </mc:Choice>
  </mc:AlternateContent>
  <xr:revisionPtr revIDLastSave="848" documentId="11_F2EB816171D3316375A4D54015B7BE582C730A6C" xr6:coauthVersionLast="47" xr6:coauthVersionMax="47" xr10:uidLastSave="{B8014713-B530-4A8D-BC1C-67DA32912E25}"/>
  <bookViews>
    <workbookView xWindow="40920" yWindow="-120" windowWidth="29040" windowHeight="1584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" l="1"/>
  <c r="C59" i="1"/>
  <c r="D59" i="1"/>
  <c r="E59" i="1"/>
  <c r="F59" i="1"/>
  <c r="G59" i="1"/>
  <c r="H59" i="1"/>
  <c r="I59" i="1"/>
  <c r="J59" i="1"/>
  <c r="K59" i="1"/>
  <c r="L59" i="1"/>
  <c r="M59" i="1"/>
  <c r="N59" i="1"/>
  <c r="M46" i="1"/>
  <c r="M55" i="1"/>
  <c r="M54" i="1"/>
  <c r="M49" i="1"/>
  <c r="M44" i="1"/>
  <c r="M43" i="1"/>
  <c r="M39" i="1"/>
  <c r="M32" i="1"/>
  <c r="M30" i="1"/>
  <c r="M29" i="1"/>
  <c r="M28" i="1"/>
  <c r="M27" i="1"/>
  <c r="M16" i="1"/>
  <c r="M13" i="1"/>
  <c r="M11" i="1"/>
  <c r="M9" i="1"/>
  <c r="M2" i="1"/>
  <c r="O8" i="1"/>
  <c r="O10" i="1"/>
  <c r="O12" i="1"/>
  <c r="O14" i="1"/>
  <c r="O15" i="1"/>
  <c r="O17" i="1"/>
  <c r="O18" i="1"/>
  <c r="O19" i="1"/>
  <c r="O21" i="1"/>
  <c r="O24" i="1"/>
  <c r="O31" i="1"/>
  <c r="O34" i="1"/>
  <c r="O41" i="1"/>
  <c r="O42" i="1"/>
  <c r="O45" i="1"/>
  <c r="O53" i="1"/>
  <c r="O57" i="1"/>
  <c r="O58" i="1"/>
  <c r="O3" i="1"/>
  <c r="O5" i="1"/>
  <c r="O6" i="1"/>
  <c r="O55" i="1"/>
  <c r="O44" i="1"/>
  <c r="O43" i="1"/>
  <c r="O32" i="1"/>
  <c r="O30" i="1"/>
  <c r="O27" i="1"/>
  <c r="O13" i="1"/>
  <c r="O9" i="1"/>
  <c r="I50" i="1"/>
  <c r="I49" i="1"/>
  <c r="O49" i="1" s="1"/>
  <c r="I46" i="1"/>
  <c r="I39" i="1"/>
  <c r="I37" i="1"/>
  <c r="I36" i="1"/>
  <c r="I33" i="1"/>
  <c r="O33" i="1" s="1"/>
  <c r="I29" i="1"/>
  <c r="I28" i="1"/>
  <c r="I16" i="1"/>
  <c r="I11" i="1"/>
  <c r="I7" i="1"/>
  <c r="O7" i="1" s="1"/>
  <c r="I4" i="1"/>
  <c r="H52" i="1"/>
  <c r="H46" i="1"/>
  <c r="H25" i="1"/>
  <c r="O25" i="1" s="1"/>
  <c r="H16" i="1"/>
  <c r="E54" i="1"/>
  <c r="E52" i="1"/>
  <c r="O52" i="1" s="1"/>
  <c r="E47" i="1"/>
  <c r="O47" i="1" s="1"/>
  <c r="E46" i="1"/>
  <c r="O46" i="1" s="1"/>
  <c r="E40" i="1"/>
  <c r="O40" i="1" s="1"/>
  <c r="E39" i="1"/>
  <c r="E37" i="1"/>
  <c r="O37" i="1" s="1"/>
  <c r="E36" i="1"/>
  <c r="O36" i="1" s="1"/>
  <c r="E35" i="1"/>
  <c r="O35" i="1" s="1"/>
  <c r="E29" i="1"/>
  <c r="E28" i="1"/>
  <c r="O28" i="1" s="1"/>
  <c r="E26" i="1"/>
  <c r="O26" i="1" s="1"/>
  <c r="E23" i="1"/>
  <c r="O23" i="1" s="1"/>
  <c r="E22" i="1"/>
  <c r="E20" i="1"/>
  <c r="O20" i="1" s="1"/>
  <c r="E11" i="1"/>
  <c r="C54" i="1"/>
  <c r="O54" i="1" s="1"/>
  <c r="C51" i="1"/>
  <c r="O51" i="1" s="1"/>
  <c r="C50" i="1"/>
  <c r="O50" i="1" s="1"/>
  <c r="C48" i="1"/>
  <c r="O48" i="1" s="1"/>
  <c r="C39" i="1"/>
  <c r="O39" i="1" s="1"/>
  <c r="C38" i="1"/>
  <c r="O38" i="1" s="1"/>
  <c r="C29" i="1"/>
  <c r="O29" i="1" s="1"/>
  <c r="C22" i="1"/>
  <c r="O22" i="1" s="1"/>
  <c r="C4" i="1"/>
  <c r="O4" i="1" s="1"/>
  <c r="C2" i="1"/>
  <c r="O2" i="1" l="1"/>
  <c r="O11" i="1"/>
  <c r="O16" i="1"/>
  <c r="O56" i="1"/>
  <c r="O59" i="1" l="1"/>
</calcChain>
</file>

<file path=xl/sharedStrings.xml><?xml version="1.0" encoding="utf-8"?>
<sst xmlns="http://schemas.openxmlformats.org/spreadsheetml/2006/main" count="73" uniqueCount="73">
  <si>
    <t>Member</t>
  </si>
  <si>
    <t>Cumulative Rental Units</t>
  </si>
  <si>
    <t>Homebuyer Education</t>
  </si>
  <si>
    <t>Foreclosure Counseling</t>
  </si>
  <si>
    <t>Housing Stabilization</t>
  </si>
  <si>
    <t>Youth Programs</t>
  </si>
  <si>
    <t>Elder Programs</t>
  </si>
  <si>
    <t>Adult Basic Education and ESOL</t>
  </si>
  <si>
    <t>Family Asset Building</t>
  </si>
  <si>
    <t>Households Assisted with Energy Efficiency</t>
  </si>
  <si>
    <t>Housing Opportunities</t>
  </si>
  <si>
    <t>Small Business Assistance</t>
  </si>
  <si>
    <t>Job Opportunities: Net of Jobs from Workforce Development</t>
  </si>
  <si>
    <t>Workforce Development Programs</t>
  </si>
  <si>
    <t>P: Total # of Families Assisted</t>
  </si>
  <si>
    <t>ACT Lawrence</t>
  </si>
  <si>
    <t>Allston Brighton CDC</t>
  </si>
  <si>
    <t>Asian CDC</t>
  </si>
  <si>
    <t>Brookline Improvement Coalition</t>
  </si>
  <si>
    <t xml:space="preserve">CDC of South Berkshire County </t>
  </si>
  <si>
    <t>CEDC-SM</t>
  </si>
  <si>
    <t>Coalition for a Better Acre</t>
  </si>
  <si>
    <t>Codman Square NDC</t>
  </si>
  <si>
    <t xml:space="preserve">Community Development Partnership </t>
  </si>
  <si>
    <t xml:space="preserve">Community Teamwork, Inc. </t>
  </si>
  <si>
    <t>Domus, Inc.</t>
  </si>
  <si>
    <t>Dorchester Bay EDC</t>
  </si>
  <si>
    <t>Downtown Taunton Foundation</t>
  </si>
  <si>
    <t>Dudley Neighbors Inc.</t>
  </si>
  <si>
    <t>Fenway CDC</t>
  </si>
  <si>
    <t>Franklin County CDC</t>
  </si>
  <si>
    <t>Groundwork Lawrence</t>
  </si>
  <si>
    <t>Harborlight Community Partners</t>
  </si>
  <si>
    <t>Hilltown CDC</t>
  </si>
  <si>
    <t>Homeowners Rehabilitation, Inc.</t>
  </si>
  <si>
    <t>Housing Assistance Corporation</t>
  </si>
  <si>
    <t>Housing Corporation of Arlington</t>
  </si>
  <si>
    <t>Housing Nantucket</t>
  </si>
  <si>
    <t>Inquilinos Boricuas en Accion</t>
  </si>
  <si>
    <t>Island Housing Trust</t>
  </si>
  <si>
    <t>Jamaica Plain NDC</t>
  </si>
  <si>
    <t>Just A Start</t>
  </si>
  <si>
    <t>Lawrence CommunityWorks Inc.</t>
  </si>
  <si>
    <t>Lena Park CDC</t>
  </si>
  <si>
    <t>Lowell Community Loan Fund, Inc. DBA, MCCI</t>
  </si>
  <si>
    <t>Madison Park CDC</t>
  </si>
  <si>
    <t>Main South CDC</t>
  </si>
  <si>
    <t>Metro West Collaborative Development</t>
  </si>
  <si>
    <t>Mission Hill NHS</t>
  </si>
  <si>
    <t>Neighborhood of Affordable Housing (NOAH)</t>
  </si>
  <si>
    <t>NeighborWorks Housing Solutions</t>
  </si>
  <si>
    <t>NewVue Communities</t>
  </si>
  <si>
    <t>North Shore CDC</t>
  </si>
  <si>
    <t>Nuestra Comunidad</t>
  </si>
  <si>
    <t>OneHolyoke CDC</t>
  </si>
  <si>
    <t>Pittsfield Economic Revitalization Corporation</t>
  </si>
  <si>
    <t>Quaboag Valley CDC</t>
  </si>
  <si>
    <t>Somerville Community Corporation</t>
  </si>
  <si>
    <t>South Boston NDC</t>
  </si>
  <si>
    <t>South Middlesex Opportunity Council, Inc.</t>
  </si>
  <si>
    <t>Southwest Boston CDC</t>
  </si>
  <si>
    <t>Springfield Neighborhood Housing Services</t>
  </si>
  <si>
    <t>The Neighborhood Developers</t>
  </si>
  <si>
    <t>Urban Edge Housing Corporation</t>
  </si>
  <si>
    <t>Valley CDC</t>
  </si>
  <si>
    <t>Waltham Alliance to Create Housing (WATCH CDC)</t>
  </si>
  <si>
    <t>Waterfront Historic Area League (WHALE)</t>
  </si>
  <si>
    <t>Way Finders</t>
  </si>
  <si>
    <t>Wellspring Cooperative</t>
  </si>
  <si>
    <t>Worcester Comm. Housing Resources, Inc.</t>
  </si>
  <si>
    <t>Worcester Common Ground</t>
  </si>
  <si>
    <t xml:space="preserve">Worcester East Side CDC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</si>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</sst>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/>
    <xf numFmtId="164" fontId="0" fillId="0" borderId="1" xfId="1" applyNumberFormat="1" applyFont="1" applyFill="1" applyBorder="1"/>
    <xf numFmtId="164" fontId="0" fillId="0" borderId="1" xfId="1" applyNumberFormat="1" applyFont="1" applyFill="1" applyBorder="1" applyAlignment="1">
      <alignment wrapText="1"/>
    </xf>
    <xf numFmtId="0" fontId="1" fillId="0" borderId="1" xfId="0" applyFont="1" applyFill="1" applyBorder="1" applyAlignment="1"/>
    <xf numFmtId="0" fontId="0" fillId="0" borderId="1" xfId="0" applyFill="1" applyBorder="1"/>
    <xf numFmtId="0" fontId="3" fillId="0" borderId="0" xfId="0" applyFont="1" applyFill="1" applyBorder="1" applyAlignment="1"/>
    <xf numFmtId="0" fontId="0" fillId="0" borderId="0" xfId="0" applyFill="1" applyBorder="1"/>
    <xf numFmtId="2" fontId="3" fillId="0" borderId="0" xfId="0" applyNumberFormat="1" applyFont="1" applyFill="1" applyBorder="1" applyAlignment="1"/>
    <xf numFmtId="164" fontId="0" fillId="0" borderId="0" xfId="1" applyNumberFormat="1" applyFont="1" applyFill="1"/>
    <xf numFmtId="164" fontId="4" fillId="0" borderId="0" xfId="1" applyNumberFormat="1" applyFont="1" applyFill="1" applyBorder="1"/>
    <xf numFmtId="164" fontId="0" fillId="0" borderId="2" xfId="1" applyNumberFormat="1" applyFont="1" applyFill="1" applyBorder="1"/>
    <xf numFmtId="164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33"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outline="0">
        <left style="thin">
          <color theme="4" tint="0.39997558519241921"/>
        </left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8D68A3-7CB0-44D7-8CCE-BBB8A6599E10}" name="Table1" displayName="Table1" ref="A1:O59" totalsRowCount="1" headerRowDxfId="32" dataDxfId="31" tableBorderDxfId="30">
  <autoFilter ref="A1:O58" xr:uid="{A08D68A3-7CB0-44D7-8CCE-BBB8A6599E10}"/>
  <tableColumns count="15">
    <tableColumn id="1" xr3:uid="{CC72B542-0F71-41EB-B66D-AB14E178F4A5}" name="Member" totalsRowLabel="Total" dataDxfId="28" totalsRowDxfId="29"/>
    <tableColumn id="2" xr3:uid="{F4DA1377-496C-4700-9CA2-BD93AC5033C6}" name="Cumulative Rental Units" totalsRowFunction="custom" dataDxfId="26" totalsRowDxfId="27" dataCellStyle="Comma" totalsRowCellStyle="Comma">
      <totalsRowFormula>SUM(Table1[Cumulative Rental Units])</totalsRowFormula>
    </tableColumn>
    <tableColumn id="3" xr3:uid="{0D9FCE28-3302-4BC1-A67C-9694165683CE}" name="Homebuyer Education" totalsRowFunction="custom" dataDxfId="24" totalsRowDxfId="25" dataCellStyle="Comma" totalsRowCellStyle="Comma">
      <totalsRowFormula>SUM(Table1[Homebuyer Education])</totalsRowFormula>
    </tableColumn>
    <tableColumn id="4" xr3:uid="{EE34EAF8-4BD9-41A1-B529-E3DBAC62A08E}" name="Foreclosure Counseling" totalsRowFunction="custom" dataDxfId="22" totalsRowDxfId="23" dataCellStyle="Comma" totalsRowCellStyle="Comma">
      <totalsRowFormula>SUM(Table1[Foreclosure Counseling])</totalsRowFormula>
    </tableColumn>
    <tableColumn id="5" xr3:uid="{6B33BB42-E808-4E65-8545-17DB3A9D1729}" name="Housing Stabilization" totalsRowFunction="custom" dataDxfId="20" totalsRowDxfId="21" dataCellStyle="Comma" totalsRowCellStyle="Comma">
      <totalsRowFormula>SUM(Table1[Housing Stabilization])</totalsRowFormula>
    </tableColumn>
    <tableColumn id="6" xr3:uid="{4D280118-DC13-4930-A607-034912A04A33}" name="Youth Programs" totalsRowFunction="custom" dataDxfId="18" totalsRowDxfId="19" dataCellStyle="Comma" totalsRowCellStyle="Comma">
      <totalsRowFormula>SUM(Table1[Youth Programs])</totalsRowFormula>
    </tableColumn>
    <tableColumn id="7" xr3:uid="{1424CC11-DFDA-4B1A-B8E1-4F37FDE037A4}" name="Elder Programs" totalsRowFunction="custom" dataDxfId="16" totalsRowDxfId="17" dataCellStyle="Comma" totalsRowCellStyle="Comma">
      <totalsRowFormula>SUM(Table1[Elder Programs])</totalsRowFormula>
    </tableColumn>
    <tableColumn id="8" xr3:uid="{B234ED64-D844-40A1-9635-FDBB2AE87243}" name="Adult Basic Education and ESOL" totalsRowFunction="custom" dataDxfId="14" totalsRowDxfId="15" dataCellStyle="Comma" totalsRowCellStyle="Comma">
      <totalsRowFormula>SUM(Table1[Adult Basic Education and ESOL])</totalsRowFormula>
    </tableColumn>
    <tableColumn id="9" xr3:uid="{267C686B-F2AF-4125-A888-2D56F35704BC}" name="Family Asset Building" totalsRowFunction="custom" dataDxfId="12" totalsRowDxfId="13" dataCellStyle="Comma" totalsRowCellStyle="Comma">
      <totalsRowFormula>SUM(Table1[Family Asset Building])</totalsRowFormula>
    </tableColumn>
    <tableColumn id="10" xr3:uid="{8DFC09F4-A93E-4068-A67E-667E06DAC792}" name="Households Assisted with Energy Efficiency" totalsRowFunction="custom" dataDxfId="10" totalsRowDxfId="11" dataCellStyle="Comma" totalsRowCellStyle="Comma">
      <totalsRowFormula>SUM(Table1[Households Assisted with Energy Efficiency])</totalsRowFormula>
    </tableColumn>
    <tableColumn id="11" xr3:uid="{6B2F2A41-ADC4-4BB2-8B47-55A8E8BC1828}" name="Housing Opportunities" totalsRowFunction="custom" dataDxfId="8" totalsRowDxfId="9" dataCellStyle="Comma" totalsRowCellStyle="Comma">
      <totalsRowFormula>SUM(Table1[Housing Opportunities])</totalsRowFormula>
    </tableColumn>
    <tableColumn id="12" xr3:uid="{08CFB58B-6151-4571-AFBA-CE17A4D90AEB}" name="Small Business Assistance" totalsRowFunction="custom" dataDxfId="6" totalsRowDxfId="7" dataCellStyle="Comma" totalsRowCellStyle="Comma">
      <totalsRowFormula>SUM(Table1[Small Business Assistance])</totalsRowFormula>
    </tableColumn>
    <tableColumn id="13" xr3:uid="{F2CE6D83-DFAA-43FD-A0D3-46D2FDFDFA05}" name="Job Opportunities: Net of Jobs from Workforce Development" totalsRowFunction="custom" dataDxfId="4" totalsRowDxfId="5" dataCellStyle="Comma" totalsRowCellStyle="Comma">
      <totalsRowFormula>SUM(Table1[Job Opportunities: Net of Jobs from Workforce Development])</totalsRowFormula>
    </tableColumn>
    <tableColumn id="14" xr3:uid="{075B97A3-14D5-43E0-9726-18B35E8987F6}" name="Workforce Development Programs" totalsRowFunction="custom" dataDxfId="2" totalsRowDxfId="3" dataCellStyle="Comma" totalsRowCellStyle="Comma">
      <totalsRowFormula>SUM(Table1[Workforce Development Programs])</totalsRowFormula>
    </tableColumn>
    <tableColumn id="15" xr3:uid="{6E63A52F-38FC-454D-9A23-579A8BEBBFF0}" name="P: Total # of Families Assisted" totalsRowFunction="sum" dataDxfId="0" totalsRowDxfId="1" dataCellStyle="Comma" totalsRowCellStyle="Comma">
      <calculatedColumnFormula>SUM(B2:N2)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workbookViewId="0">
      <pane ySplit="1" topLeftCell="I42" activePane="bottomLeft" state="frozen"/>
      <selection pane="bottomLeft" activeCell="M1" sqref="M1"/>
    </sheetView>
  </sheetViews>
  <sheetFormatPr defaultRowHeight="14.25"/>
  <cols>
    <col min="1" max="1" width="46.5703125" bestFit="1" customWidth="1"/>
    <col min="2" max="2" width="24.85546875" customWidth="1"/>
    <col min="3" max="3" width="23.140625" customWidth="1"/>
    <col min="4" max="4" width="26.5703125" bestFit="1" customWidth="1"/>
    <col min="5" max="5" width="21.85546875" customWidth="1"/>
    <col min="6" max="6" width="17.28515625" customWidth="1"/>
    <col min="7" max="7" width="16.5703125" customWidth="1"/>
    <col min="8" max="8" width="31" customWidth="1"/>
    <col min="9" max="9" width="22.5703125" bestFit="1" customWidth="1"/>
    <col min="10" max="10" width="41.85546875" customWidth="1"/>
    <col min="11" max="11" width="24" customWidth="1"/>
    <col min="12" max="12" width="26.42578125" customWidth="1"/>
    <col min="13" max="13" width="56.7109375" customWidth="1"/>
    <col min="14" max="14" width="34.5703125" customWidth="1"/>
    <col min="15" max="15" width="30" bestFit="1" customWidth="1"/>
  </cols>
  <sheetData>
    <row r="1" spans="1:15" s="1" customFormat="1" ht="22.5" customHeight="1">
      <c r="A1" s="4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8" t="s">
        <v>12</v>
      </c>
      <c r="N1" s="6" t="s">
        <v>13</v>
      </c>
      <c r="O1" s="6" t="s">
        <v>14</v>
      </c>
    </row>
    <row r="2" spans="1:15">
      <c r="A2" s="5" t="s">
        <v>15</v>
      </c>
      <c r="B2" s="2">
        <v>0</v>
      </c>
      <c r="C2" s="2">
        <f>231+64</f>
        <v>295</v>
      </c>
      <c r="D2" s="2">
        <v>12</v>
      </c>
      <c r="E2" s="2">
        <v>0</v>
      </c>
      <c r="F2" s="3">
        <v>25</v>
      </c>
      <c r="G2" s="9">
        <v>0</v>
      </c>
      <c r="H2" s="9">
        <v>0</v>
      </c>
      <c r="I2" s="2">
        <v>332</v>
      </c>
      <c r="J2" s="9">
        <v>0</v>
      </c>
      <c r="K2" s="9">
        <v>0</v>
      </c>
      <c r="L2" s="9">
        <v>0</v>
      </c>
      <c r="M2" s="9">
        <f>3-3</f>
        <v>0</v>
      </c>
      <c r="N2" s="2">
        <v>25</v>
      </c>
      <c r="O2" s="9">
        <f>SUM(B2:N2)</f>
        <v>689</v>
      </c>
    </row>
    <row r="3" spans="1:15">
      <c r="A3" s="5" t="s">
        <v>16</v>
      </c>
      <c r="B3" s="2">
        <v>506</v>
      </c>
      <c r="C3" s="2">
        <v>60</v>
      </c>
      <c r="D3" s="2">
        <v>0</v>
      </c>
      <c r="E3" s="2">
        <v>506</v>
      </c>
      <c r="F3" s="3">
        <v>15</v>
      </c>
      <c r="G3" s="9">
        <v>0</v>
      </c>
      <c r="H3" s="9">
        <v>15</v>
      </c>
      <c r="I3" s="2">
        <v>60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f t="shared" ref="O3:O58" si="0">SUM(B3:N3)</f>
        <v>1162</v>
      </c>
    </row>
    <row r="4" spans="1:15">
      <c r="A4" s="5" t="s">
        <v>17</v>
      </c>
      <c r="B4" s="2">
        <v>312</v>
      </c>
      <c r="C4" s="2">
        <f>192+203</f>
        <v>395</v>
      </c>
      <c r="D4" s="2">
        <v>50</v>
      </c>
      <c r="E4" s="2">
        <v>100</v>
      </c>
      <c r="F4" s="3">
        <v>47</v>
      </c>
      <c r="G4" s="9">
        <v>0</v>
      </c>
      <c r="H4" s="9">
        <v>0</v>
      </c>
      <c r="I4" s="2">
        <f>10+20</f>
        <v>30</v>
      </c>
      <c r="J4" s="9">
        <v>0</v>
      </c>
      <c r="K4" s="11">
        <v>12</v>
      </c>
      <c r="L4" s="9">
        <v>0</v>
      </c>
      <c r="M4" s="9">
        <v>19.32</v>
      </c>
      <c r="N4" s="9">
        <v>0</v>
      </c>
      <c r="O4" s="9">
        <f t="shared" si="0"/>
        <v>965.32</v>
      </c>
    </row>
    <row r="5" spans="1:15">
      <c r="A5" s="5" t="s">
        <v>18</v>
      </c>
      <c r="B5" s="2">
        <v>22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f t="shared" si="0"/>
        <v>22</v>
      </c>
    </row>
    <row r="6" spans="1:15">
      <c r="A6" s="5" t="s">
        <v>19</v>
      </c>
      <c r="B6" s="2">
        <v>10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f t="shared" si="0"/>
        <v>10</v>
      </c>
    </row>
    <row r="7" spans="1:15">
      <c r="A7" s="5" t="s">
        <v>20</v>
      </c>
      <c r="B7" s="2">
        <v>0</v>
      </c>
      <c r="C7" s="2">
        <v>24</v>
      </c>
      <c r="D7" s="9">
        <v>0</v>
      </c>
      <c r="E7" s="2">
        <v>130</v>
      </c>
      <c r="F7" s="9">
        <v>0</v>
      </c>
      <c r="G7" s="9">
        <v>0</v>
      </c>
      <c r="H7" s="9">
        <v>30</v>
      </c>
      <c r="I7" s="2">
        <f>1772+9</f>
        <v>1781</v>
      </c>
      <c r="J7" s="9">
        <v>0</v>
      </c>
      <c r="K7" s="9">
        <v>0</v>
      </c>
      <c r="L7" s="9">
        <v>72</v>
      </c>
      <c r="M7" s="9">
        <v>178</v>
      </c>
      <c r="N7" s="9">
        <v>0</v>
      </c>
      <c r="O7" s="9">
        <f t="shared" si="0"/>
        <v>2215</v>
      </c>
    </row>
    <row r="8" spans="1:15">
      <c r="A8" s="5" t="s">
        <v>21</v>
      </c>
      <c r="B8" s="2">
        <v>476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1">
        <v>44</v>
      </c>
      <c r="L8" s="9">
        <v>0</v>
      </c>
      <c r="M8" s="9">
        <v>70.84</v>
      </c>
      <c r="N8" s="9">
        <v>0</v>
      </c>
      <c r="O8" s="9">
        <f t="shared" si="0"/>
        <v>590.84</v>
      </c>
    </row>
    <row r="9" spans="1:15">
      <c r="A9" s="5" t="s">
        <v>22</v>
      </c>
      <c r="B9" s="2">
        <v>961</v>
      </c>
      <c r="C9" s="2">
        <v>85</v>
      </c>
      <c r="D9" s="2">
        <v>13</v>
      </c>
      <c r="E9" s="9">
        <v>0</v>
      </c>
      <c r="F9" s="9">
        <v>0</v>
      </c>
      <c r="G9" s="2">
        <v>21</v>
      </c>
      <c r="H9" s="9">
        <v>0</v>
      </c>
      <c r="I9" s="9">
        <v>63</v>
      </c>
      <c r="J9" s="9">
        <v>0</v>
      </c>
      <c r="K9" s="9">
        <v>0</v>
      </c>
      <c r="L9" s="9">
        <v>19</v>
      </c>
      <c r="M9" s="9">
        <f>23-10</f>
        <v>13</v>
      </c>
      <c r="N9" s="2">
        <v>40</v>
      </c>
      <c r="O9" s="9">
        <f t="shared" si="0"/>
        <v>1215</v>
      </c>
    </row>
    <row r="10" spans="1:15">
      <c r="A10" s="5" t="s">
        <v>23</v>
      </c>
      <c r="B10" s="2">
        <v>100</v>
      </c>
      <c r="C10" s="2">
        <v>65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2">
        <v>18</v>
      </c>
      <c r="K10" s="9">
        <v>27</v>
      </c>
      <c r="L10" s="9">
        <v>145</v>
      </c>
      <c r="M10" s="9">
        <v>22</v>
      </c>
      <c r="N10" s="9">
        <v>0</v>
      </c>
      <c r="O10" s="9">
        <f t="shared" si="0"/>
        <v>377</v>
      </c>
    </row>
    <row r="11" spans="1:15">
      <c r="A11" s="5" t="s">
        <v>24</v>
      </c>
      <c r="B11" s="2">
        <v>158</v>
      </c>
      <c r="C11" s="2">
        <v>626</v>
      </c>
      <c r="D11" s="9">
        <v>0</v>
      </c>
      <c r="E11" s="2">
        <f>1577+690</f>
        <v>2267</v>
      </c>
      <c r="F11" s="3">
        <v>345</v>
      </c>
      <c r="G11" s="2">
        <v>975</v>
      </c>
      <c r="H11" s="11">
        <v>88</v>
      </c>
      <c r="I11" s="2">
        <f>8+486+347</f>
        <v>841</v>
      </c>
      <c r="J11" s="9">
        <v>0</v>
      </c>
      <c r="K11" s="9">
        <v>14</v>
      </c>
      <c r="L11" s="9">
        <v>1084</v>
      </c>
      <c r="M11" s="9">
        <f>129-71</f>
        <v>58</v>
      </c>
      <c r="N11" s="2">
        <v>184</v>
      </c>
      <c r="O11" s="9">
        <f t="shared" si="0"/>
        <v>6640</v>
      </c>
    </row>
    <row r="12" spans="1:15">
      <c r="A12" s="5" t="s">
        <v>25</v>
      </c>
      <c r="B12" s="2">
        <v>134</v>
      </c>
      <c r="C12" s="9">
        <v>0</v>
      </c>
      <c r="D12" s="9">
        <v>0</v>
      </c>
      <c r="E12" s="9">
        <v>0</v>
      </c>
      <c r="F12" s="3">
        <v>9</v>
      </c>
      <c r="G12" s="9">
        <v>0</v>
      </c>
      <c r="H12" s="11">
        <v>25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f t="shared" si="0"/>
        <v>168</v>
      </c>
    </row>
    <row r="13" spans="1:15">
      <c r="A13" s="5" t="s">
        <v>26</v>
      </c>
      <c r="B13" s="2">
        <v>901</v>
      </c>
      <c r="C13" s="9">
        <v>0</v>
      </c>
      <c r="D13" s="9">
        <v>0</v>
      </c>
      <c r="E13" s="9">
        <v>0</v>
      </c>
      <c r="F13" s="3">
        <v>23</v>
      </c>
      <c r="G13" s="2">
        <v>20</v>
      </c>
      <c r="H13" s="9">
        <v>0</v>
      </c>
      <c r="I13" s="9">
        <v>0</v>
      </c>
      <c r="J13" s="9">
        <v>0</v>
      </c>
      <c r="K13" s="9">
        <v>0</v>
      </c>
      <c r="L13" s="9">
        <v>146</v>
      </c>
      <c r="M13" s="9">
        <f>508-72</f>
        <v>436</v>
      </c>
      <c r="N13" s="2">
        <v>88</v>
      </c>
      <c r="O13" s="9">
        <f t="shared" si="0"/>
        <v>1614</v>
      </c>
    </row>
    <row r="14" spans="1:15">
      <c r="A14" s="5" t="s">
        <v>27</v>
      </c>
      <c r="B14" s="2">
        <v>3</v>
      </c>
      <c r="C14" s="9">
        <v>0</v>
      </c>
      <c r="D14" s="9">
        <v>0</v>
      </c>
      <c r="E14" s="9">
        <v>0</v>
      </c>
      <c r="F14" s="3">
        <v>12</v>
      </c>
      <c r="G14" s="9">
        <v>0</v>
      </c>
      <c r="H14" s="9">
        <v>0</v>
      </c>
      <c r="I14" s="9">
        <v>0</v>
      </c>
      <c r="J14" s="9">
        <v>0</v>
      </c>
      <c r="K14" s="9">
        <v>6</v>
      </c>
      <c r="L14" s="9">
        <v>25</v>
      </c>
      <c r="M14" s="9">
        <v>32.659999999999997</v>
      </c>
      <c r="N14" s="9">
        <v>0</v>
      </c>
      <c r="O14" s="9">
        <f t="shared" si="0"/>
        <v>78.66</v>
      </c>
    </row>
    <row r="15" spans="1:15">
      <c r="A15" s="5" t="s">
        <v>28</v>
      </c>
      <c r="B15" s="2">
        <v>150</v>
      </c>
      <c r="C15" s="9">
        <v>0</v>
      </c>
      <c r="D15" s="9">
        <v>0</v>
      </c>
      <c r="E15" s="9">
        <v>0</v>
      </c>
      <c r="F15" s="3">
        <v>5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f t="shared" si="0"/>
        <v>155</v>
      </c>
    </row>
    <row r="16" spans="1:15">
      <c r="A16" s="5" t="s">
        <v>29</v>
      </c>
      <c r="B16" s="2">
        <v>313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11">
        <f>29+2</f>
        <v>31</v>
      </c>
      <c r="I16" s="9">
        <f>97+2</f>
        <v>99</v>
      </c>
      <c r="J16" s="9">
        <v>0</v>
      </c>
      <c r="K16" s="9">
        <v>0</v>
      </c>
      <c r="L16" s="9">
        <v>0</v>
      </c>
      <c r="M16" s="9">
        <f>3-3</f>
        <v>0</v>
      </c>
      <c r="N16" s="2">
        <v>60</v>
      </c>
      <c r="O16" s="9">
        <f t="shared" si="0"/>
        <v>503</v>
      </c>
    </row>
    <row r="17" spans="1:15">
      <c r="A17" s="5" t="s">
        <v>30</v>
      </c>
      <c r="B17" s="2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97</v>
      </c>
      <c r="M17" s="9">
        <v>155</v>
      </c>
      <c r="N17" s="9">
        <v>0</v>
      </c>
      <c r="O17" s="9">
        <f t="shared" si="0"/>
        <v>253</v>
      </c>
    </row>
    <row r="18" spans="1:15">
      <c r="A18" s="5" t="s">
        <v>31</v>
      </c>
      <c r="B18" s="2">
        <v>0</v>
      </c>
      <c r="C18" s="9">
        <v>0</v>
      </c>
      <c r="D18" s="9">
        <v>0</v>
      </c>
      <c r="E18" s="9">
        <v>0</v>
      </c>
      <c r="F18" s="3">
        <v>709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8</v>
      </c>
      <c r="M18" s="9">
        <v>74.84</v>
      </c>
      <c r="N18" s="9">
        <v>0</v>
      </c>
      <c r="O18" s="9">
        <f t="shared" si="0"/>
        <v>791.84</v>
      </c>
    </row>
    <row r="19" spans="1:15">
      <c r="A19" s="5" t="s">
        <v>32</v>
      </c>
      <c r="B19" s="2">
        <v>342</v>
      </c>
      <c r="C19" s="2">
        <v>200</v>
      </c>
      <c r="D19" s="9">
        <v>0</v>
      </c>
      <c r="E19" s="9">
        <v>0</v>
      </c>
      <c r="F19" s="9">
        <v>0</v>
      </c>
      <c r="G19" s="2">
        <v>200</v>
      </c>
      <c r="H19" s="9">
        <v>0</v>
      </c>
      <c r="I19" s="9">
        <v>0</v>
      </c>
      <c r="J19" s="9">
        <v>0</v>
      </c>
      <c r="K19" s="9">
        <v>82</v>
      </c>
      <c r="L19" s="9">
        <v>0</v>
      </c>
      <c r="M19" s="9">
        <v>11.27</v>
      </c>
      <c r="N19" s="9">
        <v>0</v>
      </c>
      <c r="O19" s="9">
        <f t="shared" si="0"/>
        <v>835.27</v>
      </c>
    </row>
    <row r="20" spans="1:15">
      <c r="A20" s="5" t="s">
        <v>33</v>
      </c>
      <c r="B20" s="2">
        <v>68</v>
      </c>
      <c r="C20" s="9">
        <v>0</v>
      </c>
      <c r="D20" s="9">
        <v>0</v>
      </c>
      <c r="E20" s="2">
        <f>68+5</f>
        <v>73</v>
      </c>
      <c r="F20" s="9">
        <v>0</v>
      </c>
      <c r="G20" s="2">
        <v>98</v>
      </c>
      <c r="H20" s="9">
        <v>0</v>
      </c>
      <c r="I20" s="9">
        <v>0</v>
      </c>
      <c r="J20" s="9">
        <v>0</v>
      </c>
      <c r="K20" s="9">
        <v>20</v>
      </c>
      <c r="L20" s="9">
        <v>25</v>
      </c>
      <c r="M20" s="9">
        <v>7</v>
      </c>
      <c r="N20" s="9">
        <v>0</v>
      </c>
      <c r="O20" s="9">
        <f t="shared" si="0"/>
        <v>291</v>
      </c>
    </row>
    <row r="21" spans="1:15">
      <c r="A21" s="5" t="s">
        <v>34</v>
      </c>
      <c r="B21" s="2">
        <v>1337</v>
      </c>
      <c r="C21" s="9">
        <v>0</v>
      </c>
      <c r="D21" s="2">
        <v>3</v>
      </c>
      <c r="E21" s="9">
        <v>0</v>
      </c>
      <c r="F21" s="3">
        <v>671</v>
      </c>
      <c r="G21" s="2">
        <v>225</v>
      </c>
      <c r="H21" s="9">
        <v>0</v>
      </c>
      <c r="I21" s="2">
        <v>5</v>
      </c>
      <c r="J21" s="2">
        <v>2</v>
      </c>
      <c r="K21" s="9">
        <v>104</v>
      </c>
      <c r="L21" s="9">
        <v>0</v>
      </c>
      <c r="M21" s="9">
        <v>157.78</v>
      </c>
      <c r="N21" s="9">
        <v>0</v>
      </c>
      <c r="O21" s="9">
        <f t="shared" si="0"/>
        <v>2504.7800000000002</v>
      </c>
    </row>
    <row r="22" spans="1:15">
      <c r="A22" s="5" t="s">
        <v>35</v>
      </c>
      <c r="B22" s="2">
        <v>338</v>
      </c>
      <c r="C22" s="2">
        <f>284+25</f>
        <v>309</v>
      </c>
      <c r="D22" s="2">
        <v>9</v>
      </c>
      <c r="E22" s="2">
        <f>352+81</f>
        <v>433</v>
      </c>
      <c r="F22" s="9">
        <v>0</v>
      </c>
      <c r="G22" s="9">
        <v>0</v>
      </c>
      <c r="H22" s="9">
        <v>0</v>
      </c>
      <c r="I22" s="2">
        <v>42</v>
      </c>
      <c r="J22" s="2">
        <v>1155</v>
      </c>
      <c r="K22" s="9">
        <v>16</v>
      </c>
      <c r="L22" s="9">
        <v>0</v>
      </c>
      <c r="M22" s="9">
        <v>25.76</v>
      </c>
      <c r="N22" s="9">
        <v>0</v>
      </c>
      <c r="O22" s="9">
        <f t="shared" si="0"/>
        <v>2327.7600000000002</v>
      </c>
    </row>
    <row r="23" spans="1:15">
      <c r="A23" s="5" t="s">
        <v>36</v>
      </c>
      <c r="B23" s="2">
        <v>93</v>
      </c>
      <c r="C23" s="9">
        <v>0</v>
      </c>
      <c r="D23" s="9">
        <v>0</v>
      </c>
      <c r="E23" s="2">
        <f>120+20</f>
        <v>140</v>
      </c>
      <c r="F23" s="9">
        <v>0</v>
      </c>
      <c r="G23" s="9">
        <v>0</v>
      </c>
      <c r="H23" s="11">
        <v>36</v>
      </c>
      <c r="I23" s="2">
        <v>15</v>
      </c>
      <c r="J23" s="9">
        <v>0</v>
      </c>
      <c r="K23" s="9">
        <v>9</v>
      </c>
      <c r="L23" s="9">
        <v>0</v>
      </c>
      <c r="M23" s="9">
        <v>14.49</v>
      </c>
      <c r="N23" s="9">
        <v>0</v>
      </c>
      <c r="O23" s="9">
        <f t="shared" si="0"/>
        <v>307.49</v>
      </c>
    </row>
    <row r="24" spans="1:15">
      <c r="A24" s="5" t="s">
        <v>37</v>
      </c>
      <c r="B24" s="2">
        <v>38</v>
      </c>
      <c r="C24" s="2">
        <v>55</v>
      </c>
      <c r="D24" s="9">
        <v>0</v>
      </c>
      <c r="E24" s="9">
        <v>9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f t="shared" si="0"/>
        <v>102</v>
      </c>
    </row>
    <row r="25" spans="1:15">
      <c r="A25" s="5" t="s">
        <v>38</v>
      </c>
      <c r="B25" s="2">
        <v>667</v>
      </c>
      <c r="C25" s="9">
        <v>0</v>
      </c>
      <c r="D25" s="9">
        <v>0</v>
      </c>
      <c r="E25" s="2">
        <v>49</v>
      </c>
      <c r="F25" s="3">
        <v>56</v>
      </c>
      <c r="G25" s="2">
        <v>220</v>
      </c>
      <c r="H25" s="11">
        <f>26+22</f>
        <v>48</v>
      </c>
      <c r="I25" s="2">
        <v>163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f t="shared" si="0"/>
        <v>1203</v>
      </c>
    </row>
    <row r="26" spans="1:15">
      <c r="A26" s="5" t="s">
        <v>39</v>
      </c>
      <c r="B26" s="2">
        <v>41</v>
      </c>
      <c r="C26" s="9">
        <v>0</v>
      </c>
      <c r="D26" s="9">
        <v>0</v>
      </c>
      <c r="E26" s="2">
        <f>43+22</f>
        <v>65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28</v>
      </c>
      <c r="L26" s="9">
        <v>0</v>
      </c>
      <c r="M26" s="9">
        <v>35.42</v>
      </c>
      <c r="N26" s="9">
        <v>0</v>
      </c>
      <c r="O26" s="9">
        <f t="shared" si="0"/>
        <v>169.42000000000002</v>
      </c>
    </row>
    <row r="27" spans="1:15">
      <c r="A27" s="5" t="s">
        <v>40</v>
      </c>
      <c r="B27" s="2">
        <v>672</v>
      </c>
      <c r="C27" s="9">
        <v>0</v>
      </c>
      <c r="D27" s="9">
        <v>0</v>
      </c>
      <c r="E27" s="9">
        <v>0</v>
      </c>
      <c r="F27" s="9">
        <v>0</v>
      </c>
      <c r="G27" s="2">
        <v>120</v>
      </c>
      <c r="H27" s="9">
        <v>0</v>
      </c>
      <c r="I27" s="2">
        <v>80</v>
      </c>
      <c r="J27" s="9">
        <v>0</v>
      </c>
      <c r="K27" s="9">
        <v>0</v>
      </c>
      <c r="L27" s="9">
        <v>202</v>
      </c>
      <c r="M27" s="9">
        <f>319-30</f>
        <v>289</v>
      </c>
      <c r="N27" s="2">
        <v>90</v>
      </c>
      <c r="O27" s="9">
        <f t="shared" si="0"/>
        <v>1453</v>
      </c>
    </row>
    <row r="28" spans="1:15">
      <c r="A28" s="5" t="s">
        <v>41</v>
      </c>
      <c r="B28" s="2">
        <v>599</v>
      </c>
      <c r="C28" s="9">
        <v>0</v>
      </c>
      <c r="D28" s="9">
        <v>0</v>
      </c>
      <c r="E28" s="2">
        <f>316+24</f>
        <v>340</v>
      </c>
      <c r="F28" s="3">
        <v>55</v>
      </c>
      <c r="G28" s="9">
        <v>0</v>
      </c>
      <c r="H28" s="9">
        <v>0</v>
      </c>
      <c r="I28" s="2">
        <f>24+267+268</f>
        <v>559</v>
      </c>
      <c r="J28" s="9">
        <v>0</v>
      </c>
      <c r="K28" s="9">
        <v>9</v>
      </c>
      <c r="L28" s="9">
        <v>0</v>
      </c>
      <c r="M28" s="9">
        <f>34-34</f>
        <v>0</v>
      </c>
      <c r="N28" s="2">
        <v>51</v>
      </c>
      <c r="O28" s="9">
        <f t="shared" si="0"/>
        <v>1613</v>
      </c>
    </row>
    <row r="29" spans="1:15">
      <c r="A29" s="5" t="s">
        <v>42</v>
      </c>
      <c r="B29" s="2">
        <v>230</v>
      </c>
      <c r="C29" s="2">
        <f>218+70</f>
        <v>288</v>
      </c>
      <c r="D29" s="2">
        <v>19</v>
      </c>
      <c r="E29" s="2">
        <f>21+21</f>
        <v>42</v>
      </c>
      <c r="F29" s="3">
        <v>72</v>
      </c>
      <c r="G29" s="9">
        <v>0</v>
      </c>
      <c r="H29" s="9">
        <v>44</v>
      </c>
      <c r="I29" s="2">
        <f>16+161</f>
        <v>177</v>
      </c>
      <c r="J29" s="9">
        <v>0</v>
      </c>
      <c r="K29" s="9">
        <v>0</v>
      </c>
      <c r="L29" s="9">
        <v>0</v>
      </c>
      <c r="M29" s="9">
        <f>25-25</f>
        <v>0</v>
      </c>
      <c r="N29" s="2">
        <v>68</v>
      </c>
      <c r="O29" s="9">
        <f t="shared" si="0"/>
        <v>940</v>
      </c>
    </row>
    <row r="30" spans="1:15">
      <c r="A30" s="5" t="s">
        <v>43</v>
      </c>
      <c r="B30" s="2">
        <v>546</v>
      </c>
      <c r="C30" s="9">
        <v>0</v>
      </c>
      <c r="D30" s="9">
        <v>0</v>
      </c>
      <c r="E30" s="9">
        <v>0</v>
      </c>
      <c r="F30" s="3">
        <v>55</v>
      </c>
      <c r="G30" s="9">
        <v>0</v>
      </c>
      <c r="H30" s="9">
        <v>0</v>
      </c>
      <c r="I30" s="9">
        <v>11</v>
      </c>
      <c r="J30" s="9">
        <v>0</v>
      </c>
      <c r="K30" s="9">
        <v>0</v>
      </c>
      <c r="L30" s="9">
        <v>45</v>
      </c>
      <c r="M30" s="9">
        <f>28-11</f>
        <v>17</v>
      </c>
      <c r="N30" s="2">
        <v>25</v>
      </c>
      <c r="O30" s="9">
        <f t="shared" si="0"/>
        <v>699</v>
      </c>
    </row>
    <row r="31" spans="1:15">
      <c r="A31" s="5" t="s">
        <v>44</v>
      </c>
      <c r="B31" s="2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50</v>
      </c>
      <c r="L31" s="9">
        <v>148</v>
      </c>
      <c r="M31" s="9">
        <v>161</v>
      </c>
      <c r="N31" s="9">
        <v>0</v>
      </c>
      <c r="O31" s="9">
        <f t="shared" si="0"/>
        <v>359</v>
      </c>
    </row>
    <row r="32" spans="1:15">
      <c r="A32" s="5" t="s">
        <v>45</v>
      </c>
      <c r="B32" s="2">
        <v>1318</v>
      </c>
      <c r="C32" s="2">
        <v>37</v>
      </c>
      <c r="D32" s="9">
        <v>0</v>
      </c>
      <c r="E32" s="9">
        <v>1</v>
      </c>
      <c r="F32" s="3">
        <v>302</v>
      </c>
      <c r="G32" s="2">
        <v>382</v>
      </c>
      <c r="H32" s="9">
        <v>0</v>
      </c>
      <c r="I32" s="9">
        <v>0</v>
      </c>
      <c r="J32" s="9">
        <v>0</v>
      </c>
      <c r="K32" s="9">
        <v>147</v>
      </c>
      <c r="L32" s="9">
        <v>12</v>
      </c>
      <c r="M32" s="9">
        <f>331.67-65</f>
        <v>266.67</v>
      </c>
      <c r="N32" s="2">
        <v>229</v>
      </c>
      <c r="O32" s="9">
        <f t="shared" si="0"/>
        <v>2694.67</v>
      </c>
    </row>
    <row r="33" spans="1:15">
      <c r="A33" s="5" t="s">
        <v>46</v>
      </c>
      <c r="B33" s="2">
        <v>187</v>
      </c>
      <c r="C33" s="2">
        <v>1</v>
      </c>
      <c r="D33" s="9">
        <v>0</v>
      </c>
      <c r="E33" s="9">
        <v>0</v>
      </c>
      <c r="F33" s="3">
        <v>24</v>
      </c>
      <c r="G33" s="9">
        <v>0</v>
      </c>
      <c r="H33" s="9">
        <v>0</v>
      </c>
      <c r="I33" s="9">
        <f>187+10</f>
        <v>197</v>
      </c>
      <c r="J33" s="9">
        <v>0</v>
      </c>
      <c r="K33" s="9">
        <v>0</v>
      </c>
      <c r="L33" s="9">
        <v>30</v>
      </c>
      <c r="M33" s="9">
        <v>75</v>
      </c>
      <c r="N33" s="9">
        <v>0</v>
      </c>
      <c r="O33" s="9">
        <f t="shared" si="0"/>
        <v>514</v>
      </c>
    </row>
    <row r="34" spans="1:15">
      <c r="A34" s="5" t="s">
        <v>47</v>
      </c>
      <c r="B34" s="2">
        <v>62</v>
      </c>
      <c r="C34" s="9">
        <v>0</v>
      </c>
      <c r="D34" s="9">
        <v>0</v>
      </c>
      <c r="E34" s="2">
        <v>450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8</v>
      </c>
      <c r="L34" s="9">
        <v>0</v>
      </c>
      <c r="M34" s="9">
        <v>12.88</v>
      </c>
      <c r="N34" s="9">
        <v>0</v>
      </c>
      <c r="O34" s="9">
        <f t="shared" si="0"/>
        <v>532.88</v>
      </c>
    </row>
    <row r="35" spans="1:15">
      <c r="A35" s="5" t="s">
        <v>48</v>
      </c>
      <c r="B35" s="2">
        <v>197</v>
      </c>
      <c r="C35" s="9">
        <v>0</v>
      </c>
      <c r="D35" s="9">
        <v>0</v>
      </c>
      <c r="E35" s="2">
        <f>27+5</f>
        <v>32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f t="shared" si="0"/>
        <v>229</v>
      </c>
    </row>
    <row r="36" spans="1:15">
      <c r="A36" s="5" t="s">
        <v>49</v>
      </c>
      <c r="B36" s="2">
        <v>395</v>
      </c>
      <c r="C36" s="2">
        <v>303</v>
      </c>
      <c r="D36" s="2">
        <v>103</v>
      </c>
      <c r="E36" s="2">
        <f>610+18</f>
        <v>628</v>
      </c>
      <c r="F36" s="3">
        <v>50</v>
      </c>
      <c r="G36" s="2">
        <v>65</v>
      </c>
      <c r="H36" s="9">
        <v>93</v>
      </c>
      <c r="I36" s="9">
        <f>95+87</f>
        <v>182</v>
      </c>
      <c r="J36" s="9">
        <v>0</v>
      </c>
      <c r="K36" s="9">
        <v>6</v>
      </c>
      <c r="L36" s="9">
        <v>0</v>
      </c>
      <c r="M36" s="9">
        <v>0</v>
      </c>
      <c r="N36" s="9">
        <v>0</v>
      </c>
      <c r="O36" s="9">
        <f t="shared" si="0"/>
        <v>1825</v>
      </c>
    </row>
    <row r="37" spans="1:15">
      <c r="A37" s="5" t="s">
        <v>50</v>
      </c>
      <c r="B37" s="2">
        <v>742</v>
      </c>
      <c r="C37" s="2">
        <v>522</v>
      </c>
      <c r="D37" s="2">
        <v>11</v>
      </c>
      <c r="E37" s="2">
        <f>1075+618</f>
        <v>1693</v>
      </c>
      <c r="F37" s="9">
        <v>0</v>
      </c>
      <c r="G37" s="9">
        <v>0</v>
      </c>
      <c r="H37" s="9">
        <v>0</v>
      </c>
      <c r="I37" s="9">
        <f>258+126</f>
        <v>384</v>
      </c>
      <c r="J37" s="9">
        <v>0</v>
      </c>
      <c r="K37" s="9">
        <v>45</v>
      </c>
      <c r="L37" s="9">
        <v>19</v>
      </c>
      <c r="M37" s="9">
        <v>9.66</v>
      </c>
      <c r="N37" s="9">
        <v>0</v>
      </c>
      <c r="O37" s="9">
        <f t="shared" si="0"/>
        <v>3425.66</v>
      </c>
    </row>
    <row r="38" spans="1:15">
      <c r="A38" s="5" t="s">
        <v>51</v>
      </c>
      <c r="B38" s="2">
        <v>140</v>
      </c>
      <c r="C38" s="2">
        <f>287+3</f>
        <v>290</v>
      </c>
      <c r="D38" s="2">
        <v>17</v>
      </c>
      <c r="E38" s="9">
        <v>0</v>
      </c>
      <c r="F38" s="9">
        <v>0</v>
      </c>
      <c r="G38" s="9">
        <v>0</v>
      </c>
      <c r="H38" s="9">
        <v>0</v>
      </c>
      <c r="I38" s="9">
        <v>90</v>
      </c>
      <c r="J38" s="9">
        <v>0</v>
      </c>
      <c r="K38" s="9">
        <v>43</v>
      </c>
      <c r="L38" s="9">
        <v>63</v>
      </c>
      <c r="M38" s="9">
        <v>244.01</v>
      </c>
      <c r="N38" s="9">
        <v>0</v>
      </c>
      <c r="O38" s="9">
        <f t="shared" si="0"/>
        <v>887.01</v>
      </c>
    </row>
    <row r="39" spans="1:15">
      <c r="A39" s="5" t="s">
        <v>52</v>
      </c>
      <c r="B39" s="2">
        <v>373</v>
      </c>
      <c r="C39" s="2">
        <f>17+11</f>
        <v>28</v>
      </c>
      <c r="D39" s="9">
        <v>0</v>
      </c>
      <c r="E39" s="2">
        <f>68+7</f>
        <v>75</v>
      </c>
      <c r="F39" s="3">
        <v>41</v>
      </c>
      <c r="G39" s="9">
        <v>0</v>
      </c>
      <c r="H39" s="9">
        <v>214</v>
      </c>
      <c r="I39" s="9">
        <f>160+93</f>
        <v>253</v>
      </c>
      <c r="J39" s="9">
        <v>0</v>
      </c>
      <c r="K39" s="9">
        <v>0</v>
      </c>
      <c r="L39" s="9">
        <v>38</v>
      </c>
      <c r="M39" s="9">
        <f>76-51</f>
        <v>25</v>
      </c>
      <c r="N39" s="2">
        <v>58</v>
      </c>
      <c r="O39" s="9">
        <f t="shared" si="0"/>
        <v>1105</v>
      </c>
    </row>
    <row r="40" spans="1:15">
      <c r="A40" s="5" t="s">
        <v>53</v>
      </c>
      <c r="B40" s="2">
        <v>800</v>
      </c>
      <c r="C40" s="9">
        <v>0</v>
      </c>
      <c r="D40" s="9">
        <v>0</v>
      </c>
      <c r="E40" s="2">
        <f>70+30</f>
        <v>100</v>
      </c>
      <c r="F40" s="9">
        <v>0</v>
      </c>
      <c r="G40" s="2">
        <v>70</v>
      </c>
      <c r="H40" s="9">
        <v>0</v>
      </c>
      <c r="I40" s="9">
        <v>0</v>
      </c>
      <c r="J40" s="9">
        <v>0</v>
      </c>
      <c r="K40" s="9">
        <v>0</v>
      </c>
      <c r="L40" s="9">
        <v>4</v>
      </c>
      <c r="M40" s="9">
        <v>0</v>
      </c>
      <c r="N40" s="9">
        <v>0</v>
      </c>
      <c r="O40" s="9">
        <f t="shared" si="0"/>
        <v>974</v>
      </c>
    </row>
    <row r="41" spans="1:15">
      <c r="A41" s="5" t="s">
        <v>54</v>
      </c>
      <c r="B41" s="2">
        <v>260</v>
      </c>
      <c r="C41" s="9">
        <v>0</v>
      </c>
      <c r="D41" s="9">
        <v>0</v>
      </c>
      <c r="E41" s="9">
        <v>0</v>
      </c>
      <c r="F41" s="3">
        <v>18</v>
      </c>
      <c r="G41" s="9">
        <v>0</v>
      </c>
      <c r="H41" s="9">
        <v>0</v>
      </c>
      <c r="I41" s="9">
        <v>0</v>
      </c>
      <c r="J41" s="9">
        <v>0</v>
      </c>
      <c r="K41" s="11">
        <v>17</v>
      </c>
      <c r="L41" s="9">
        <v>0</v>
      </c>
      <c r="M41" s="9">
        <v>0</v>
      </c>
      <c r="N41" s="9">
        <v>0</v>
      </c>
      <c r="O41" s="9">
        <f t="shared" si="0"/>
        <v>295</v>
      </c>
    </row>
    <row r="42" spans="1:15">
      <c r="A42" s="5" t="s">
        <v>55</v>
      </c>
      <c r="B42" s="2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120</v>
      </c>
      <c r="M42" s="9">
        <v>167</v>
      </c>
      <c r="N42" s="9">
        <v>0</v>
      </c>
      <c r="O42" s="9">
        <f t="shared" si="0"/>
        <v>287</v>
      </c>
    </row>
    <row r="43" spans="1:15">
      <c r="A43" s="5" t="s">
        <v>56</v>
      </c>
      <c r="B43" s="2">
        <v>7</v>
      </c>
      <c r="C43" s="9">
        <v>0</v>
      </c>
      <c r="D43" s="9">
        <v>0</v>
      </c>
      <c r="E43" s="9">
        <v>0</v>
      </c>
      <c r="F43" s="9">
        <v>0</v>
      </c>
      <c r="G43" s="2">
        <v>38</v>
      </c>
      <c r="H43" s="11">
        <v>5</v>
      </c>
      <c r="I43" s="9">
        <v>0</v>
      </c>
      <c r="J43" s="9">
        <v>0</v>
      </c>
      <c r="K43" s="9">
        <v>0</v>
      </c>
      <c r="L43" s="9">
        <v>48</v>
      </c>
      <c r="M43" s="9">
        <f>104-51</f>
        <v>53</v>
      </c>
      <c r="N43" s="2">
        <v>51</v>
      </c>
      <c r="O43" s="9">
        <f t="shared" si="0"/>
        <v>202</v>
      </c>
    </row>
    <row r="44" spans="1:15">
      <c r="A44" s="5" t="s">
        <v>57</v>
      </c>
      <c r="B44" s="2">
        <v>305</v>
      </c>
      <c r="C44" s="2">
        <v>313</v>
      </c>
      <c r="D44" s="9">
        <v>0</v>
      </c>
      <c r="E44" s="9">
        <v>0</v>
      </c>
      <c r="F44" s="3">
        <v>12</v>
      </c>
      <c r="G44" s="9">
        <v>0</v>
      </c>
      <c r="H44" s="9">
        <v>0</v>
      </c>
      <c r="I44" s="2">
        <v>50</v>
      </c>
      <c r="J44" s="9">
        <v>0</v>
      </c>
      <c r="K44" s="9">
        <v>31</v>
      </c>
      <c r="L44" s="9">
        <v>0</v>
      </c>
      <c r="M44" s="9">
        <f>108.91-59</f>
        <v>49.91</v>
      </c>
      <c r="N44" s="2">
        <v>268</v>
      </c>
      <c r="O44" s="9">
        <f t="shared" si="0"/>
        <v>1028.9099999999999</v>
      </c>
    </row>
    <row r="45" spans="1:15">
      <c r="A45" s="5" t="s">
        <v>58</v>
      </c>
      <c r="B45" s="2">
        <v>120</v>
      </c>
      <c r="C45" s="2">
        <v>183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46</v>
      </c>
      <c r="L45" s="9">
        <v>0</v>
      </c>
      <c r="M45" s="9">
        <v>74.06</v>
      </c>
      <c r="N45" s="9">
        <v>0</v>
      </c>
      <c r="O45" s="9">
        <f t="shared" si="0"/>
        <v>423.06</v>
      </c>
    </row>
    <row r="46" spans="1:15">
      <c r="A46" s="5" t="s">
        <v>59</v>
      </c>
      <c r="B46" s="2">
        <v>1793</v>
      </c>
      <c r="C46" s="9">
        <v>0</v>
      </c>
      <c r="D46" s="2">
        <v>28</v>
      </c>
      <c r="E46" s="2">
        <f>464+21</f>
        <v>485</v>
      </c>
      <c r="F46" s="3">
        <v>5408</v>
      </c>
      <c r="G46" s="9">
        <v>0</v>
      </c>
      <c r="H46" s="11">
        <f>31+62</f>
        <v>93</v>
      </c>
      <c r="I46" s="9">
        <f>338+125</f>
        <v>463</v>
      </c>
      <c r="J46" s="2">
        <v>387</v>
      </c>
      <c r="K46" s="9">
        <v>30</v>
      </c>
      <c r="L46" s="9">
        <v>31</v>
      </c>
      <c r="M46" s="9">
        <f>132.61-104</f>
        <v>28.610000000000014</v>
      </c>
      <c r="N46" s="2">
        <v>115</v>
      </c>
      <c r="O46" s="9">
        <f t="shared" si="0"/>
        <v>8861.61</v>
      </c>
    </row>
    <row r="47" spans="1:15">
      <c r="A47" s="5" t="s">
        <v>60</v>
      </c>
      <c r="B47" s="2">
        <v>42</v>
      </c>
      <c r="C47" s="9">
        <v>0</v>
      </c>
      <c r="D47" s="9">
        <v>0</v>
      </c>
      <c r="E47" s="2">
        <f>9+39</f>
        <v>48</v>
      </c>
      <c r="F47" s="3">
        <v>18</v>
      </c>
      <c r="G47" s="9">
        <v>0</v>
      </c>
      <c r="H47" s="9">
        <v>0</v>
      </c>
      <c r="I47" s="9">
        <v>0</v>
      </c>
      <c r="J47" s="9">
        <v>0</v>
      </c>
      <c r="K47" s="9">
        <v>32</v>
      </c>
      <c r="L47" s="9">
        <v>0</v>
      </c>
      <c r="M47" s="9">
        <v>51.52</v>
      </c>
      <c r="N47" s="9">
        <v>0</v>
      </c>
      <c r="O47" s="9">
        <f t="shared" si="0"/>
        <v>191.52</v>
      </c>
    </row>
    <row r="48" spans="1:15">
      <c r="A48" s="5" t="s">
        <v>61</v>
      </c>
      <c r="B48" s="2">
        <v>0</v>
      </c>
      <c r="C48" s="2">
        <f>106+20</f>
        <v>126</v>
      </c>
      <c r="D48" s="2">
        <v>23</v>
      </c>
      <c r="E48" s="9">
        <v>0</v>
      </c>
      <c r="F48" s="9">
        <v>0</v>
      </c>
      <c r="G48" s="9">
        <v>0</v>
      </c>
      <c r="H48" s="9">
        <v>0</v>
      </c>
      <c r="I48" s="9">
        <v>80</v>
      </c>
      <c r="J48" s="9">
        <v>0</v>
      </c>
      <c r="K48" s="9">
        <v>0</v>
      </c>
      <c r="L48" s="9">
        <v>10</v>
      </c>
      <c r="M48" s="9">
        <v>30</v>
      </c>
      <c r="N48" s="9">
        <v>0</v>
      </c>
      <c r="O48" s="9">
        <f t="shared" si="0"/>
        <v>269</v>
      </c>
    </row>
    <row r="49" spans="1:15">
      <c r="A49" s="5" t="s">
        <v>62</v>
      </c>
      <c r="B49" s="2">
        <v>461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f>485+223</f>
        <v>708</v>
      </c>
      <c r="J49" s="9">
        <v>0</v>
      </c>
      <c r="K49" s="9">
        <v>0</v>
      </c>
      <c r="L49" s="9">
        <v>0</v>
      </c>
      <c r="M49" s="9">
        <f>5-5</f>
        <v>0</v>
      </c>
      <c r="N49" s="2">
        <v>65</v>
      </c>
      <c r="O49" s="9">
        <f t="shared" si="0"/>
        <v>1234</v>
      </c>
    </row>
    <row r="50" spans="1:15">
      <c r="A50" s="5" t="s">
        <v>63</v>
      </c>
      <c r="B50" s="2">
        <v>1369</v>
      </c>
      <c r="C50" s="2">
        <f>431+22</f>
        <v>453</v>
      </c>
      <c r="D50" s="2">
        <v>22</v>
      </c>
      <c r="E50" s="9">
        <v>0</v>
      </c>
      <c r="F50" s="9">
        <v>0</v>
      </c>
      <c r="G50" s="2">
        <v>200</v>
      </c>
      <c r="H50" s="9">
        <v>0</v>
      </c>
      <c r="I50" s="9">
        <f>354+96</f>
        <v>450</v>
      </c>
      <c r="J50" s="9">
        <v>0</v>
      </c>
      <c r="K50" s="9">
        <v>6</v>
      </c>
      <c r="L50" s="9">
        <v>0</v>
      </c>
      <c r="M50" s="9">
        <v>0</v>
      </c>
      <c r="N50" s="9">
        <v>0</v>
      </c>
      <c r="O50" s="9">
        <f t="shared" si="0"/>
        <v>2500</v>
      </c>
    </row>
    <row r="51" spans="1:15">
      <c r="A51" s="5" t="s">
        <v>64</v>
      </c>
      <c r="B51" s="2">
        <v>81</v>
      </c>
      <c r="C51" s="2">
        <f>225+26</f>
        <v>251</v>
      </c>
      <c r="D51" s="2">
        <v>28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31</v>
      </c>
      <c r="L51" s="9">
        <v>50</v>
      </c>
      <c r="M51" s="9">
        <v>69.91</v>
      </c>
      <c r="N51" s="9">
        <v>0</v>
      </c>
      <c r="O51" s="9">
        <f t="shared" si="0"/>
        <v>510.90999999999997</v>
      </c>
    </row>
    <row r="52" spans="1:15">
      <c r="A52" s="5" t="s">
        <v>65</v>
      </c>
      <c r="B52" s="2">
        <v>1</v>
      </c>
      <c r="C52" s="2">
        <v>321</v>
      </c>
      <c r="D52" s="9">
        <v>0</v>
      </c>
      <c r="E52" s="2">
        <f>750+30</f>
        <v>780</v>
      </c>
      <c r="F52" s="9">
        <v>0</v>
      </c>
      <c r="G52" s="9">
        <v>0</v>
      </c>
      <c r="H52" s="11">
        <f>30+130</f>
        <v>160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f t="shared" si="0"/>
        <v>1262</v>
      </c>
    </row>
    <row r="53" spans="1:15">
      <c r="A53" s="5" t="s">
        <v>66</v>
      </c>
      <c r="B53" s="2">
        <v>4</v>
      </c>
      <c r="C53" s="9">
        <v>0</v>
      </c>
      <c r="D53" s="9">
        <v>0</v>
      </c>
      <c r="E53" s="9">
        <v>1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23</v>
      </c>
      <c r="L53" s="9">
        <v>0</v>
      </c>
      <c r="M53" s="9">
        <v>33.81</v>
      </c>
      <c r="N53" s="9">
        <v>0</v>
      </c>
      <c r="O53" s="9">
        <f t="shared" si="0"/>
        <v>61.81</v>
      </c>
    </row>
    <row r="54" spans="1:15">
      <c r="A54" s="5" t="s">
        <v>67</v>
      </c>
      <c r="B54" s="2">
        <v>692</v>
      </c>
      <c r="C54" s="2">
        <f>768+16</f>
        <v>784</v>
      </c>
      <c r="D54" s="2">
        <v>73</v>
      </c>
      <c r="E54" s="2">
        <f>546+159</f>
        <v>705</v>
      </c>
      <c r="F54" s="9">
        <v>0</v>
      </c>
      <c r="G54" s="9">
        <v>0</v>
      </c>
      <c r="H54" s="9">
        <v>0</v>
      </c>
      <c r="I54" s="2">
        <v>158</v>
      </c>
      <c r="J54" s="9">
        <v>0</v>
      </c>
      <c r="K54" s="9">
        <v>142</v>
      </c>
      <c r="L54" s="9">
        <v>86</v>
      </c>
      <c r="M54" s="9">
        <f>405-273</f>
        <v>132</v>
      </c>
      <c r="N54" s="2">
        <v>279</v>
      </c>
      <c r="O54" s="9">
        <f t="shared" si="0"/>
        <v>3051</v>
      </c>
    </row>
    <row r="55" spans="1:15">
      <c r="A55" s="5" t="s">
        <v>68</v>
      </c>
      <c r="B55" s="2">
        <v>0</v>
      </c>
      <c r="C55" s="9">
        <v>0</v>
      </c>
      <c r="D55" s="9">
        <v>0</v>
      </c>
      <c r="E55" s="2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80</v>
      </c>
      <c r="M55" s="9">
        <f>81-35</f>
        <v>46</v>
      </c>
      <c r="N55" s="2">
        <v>80</v>
      </c>
      <c r="O55" s="9">
        <f t="shared" si="0"/>
        <v>206</v>
      </c>
    </row>
    <row r="56" spans="1:15">
      <c r="A56" s="5" t="s">
        <v>69</v>
      </c>
      <c r="B56" s="2">
        <v>190</v>
      </c>
      <c r="C56" s="9">
        <v>0</v>
      </c>
      <c r="D56" s="9">
        <v>0</v>
      </c>
      <c r="E56" s="2">
        <v>31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11">
        <v>15</v>
      </c>
      <c r="L56" s="9">
        <v>0</v>
      </c>
      <c r="M56" s="9">
        <v>0</v>
      </c>
      <c r="N56" s="9">
        <v>0</v>
      </c>
      <c r="O56" s="9">
        <f t="shared" si="0"/>
        <v>236</v>
      </c>
    </row>
    <row r="57" spans="1:15">
      <c r="A57" s="5" t="s">
        <v>70</v>
      </c>
      <c r="B57" s="2">
        <v>145</v>
      </c>
      <c r="C57" s="9">
        <v>0</v>
      </c>
      <c r="D57" s="9">
        <v>0</v>
      </c>
      <c r="E57" s="9">
        <v>0</v>
      </c>
      <c r="F57" s="3">
        <v>125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0.25352112676056338</v>
      </c>
      <c r="N57" s="9">
        <v>0</v>
      </c>
      <c r="O57" s="9">
        <f t="shared" si="0"/>
        <v>270.25352112676057</v>
      </c>
    </row>
    <row r="58" spans="1:15">
      <c r="A58" s="5" t="s">
        <v>71</v>
      </c>
      <c r="B58" s="2">
        <v>17</v>
      </c>
      <c r="C58" s="9">
        <v>0</v>
      </c>
      <c r="D58" s="9">
        <v>0</v>
      </c>
      <c r="E58" s="9">
        <v>0</v>
      </c>
      <c r="F58" s="3">
        <v>6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f t="shared" si="0"/>
        <v>23</v>
      </c>
    </row>
    <row r="59" spans="1:15">
      <c r="A59" s="7" t="s">
        <v>72</v>
      </c>
      <c r="B59" s="12">
        <f>SUM(Table1[Cumulative Rental Units])</f>
        <v>18719</v>
      </c>
      <c r="C59" s="12">
        <f>SUM(Table1[Homebuyer Education])</f>
        <v>6014</v>
      </c>
      <c r="D59" s="12">
        <f>SUM(Table1[Foreclosure Counseling])</f>
        <v>411</v>
      </c>
      <c r="E59" s="12">
        <f>SUM(Table1[Housing Stabilization])</f>
        <v>9183</v>
      </c>
      <c r="F59" s="12">
        <f>SUM(Table1[Youth Programs])</f>
        <v>8103</v>
      </c>
      <c r="G59" s="12">
        <f>SUM(Table1[Elder Programs])</f>
        <v>2634</v>
      </c>
      <c r="H59" s="12">
        <f>SUM(Table1[Adult Basic Education and ESOL])</f>
        <v>882</v>
      </c>
      <c r="I59" s="12">
        <f>SUM(Table1[Family Asset Building])</f>
        <v>7273</v>
      </c>
      <c r="J59" s="12">
        <f>SUM(Table1[Households Assisted with Energy Efficiency])</f>
        <v>1562</v>
      </c>
      <c r="K59" s="10">
        <f>SUM(Table1[Housing Opportunities])</f>
        <v>1043</v>
      </c>
      <c r="L59" s="12">
        <f>SUM(Table1[Small Business Assistance])</f>
        <v>2607</v>
      </c>
      <c r="M59" s="10">
        <f>SUM(Table1[Job Opportunities: Net of Jobs from Workforce Development])</f>
        <v>3147.6735211267605</v>
      </c>
      <c r="N59" s="12">
        <f>SUM(Table1[Workforce Development Programs])</f>
        <v>1776</v>
      </c>
      <c r="O59" s="9">
        <f>SUBTOTAL(109,Table1[P: Total '# of Families Assisted])</f>
        <v>63354.673521126751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15" ma:contentTypeDescription="Create a new document." ma:contentTypeScope="" ma:versionID="c0e665e893cdc815b4fd2608a3b866fe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0a27c2e42f4e3a48bf862c1a981029f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068948-66FA-44B6-837B-E98F3F4330C3}"/>
</file>

<file path=customXml/itemProps2.xml><?xml version="1.0" encoding="utf-8"?>
<ds:datastoreItem xmlns:ds="http://schemas.openxmlformats.org/officeDocument/2006/customXml" ds:itemID="{6ED579C8-87FF-4257-B15E-18BBFCC26675}"/>
</file>

<file path=customXml/itemProps3.xml><?xml version="1.0" encoding="utf-8"?>
<ds:datastoreItem xmlns:ds="http://schemas.openxmlformats.org/officeDocument/2006/customXml" ds:itemID="{F7E5121D-4A55-47F6-8C4C-98E91ED3D9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Liam Baxter-Healey</cp:lastModifiedBy>
  <cp:revision/>
  <dcterms:created xsi:type="dcterms:W3CDTF">2021-07-22T03:58:20Z</dcterms:created>
  <dcterms:modified xsi:type="dcterms:W3CDTF">2021-07-27T20:23:10Z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